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1qFXi37q2zSwda0xly6DfO2uwJd3pDhyDWGCLp/nbiwCqoPzPRQA3zM4vL+DJ0dfStcVsxx+nq4NpzESO472vA==" workbookSaltValue="4tS50RAlkdzJJeN75QGm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H14" i="1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F11" i="11"/>
  <c r="BH30" i="16"/>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<sst xmlns="http://schemas.openxmlformats.org/spreadsheetml/2006/main" count="2682" uniqueCount="1192">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</sst>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8zkTq28IQbjyuyi3Jjh5H+TzRLrkOzDtEzf49vD02KlKsRTREALs0p9CbbNLTSOuZitJJAH7LYzhL7xlCXAng==" saltValue="/rtrv38Qjwe4ZBh5K5Yu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23.222222222222221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260</v>
      </c>
      <c r="D17" s="239">
        <f>IF(ISNUMBER(IF(D_I="SI",Datos!I17,Datos!I17+Datos!AC17)),IF(D_I="SI",Datos!I17,Datos!I17+Datos!AC17)," - ")</f>
        <v>260</v>
      </c>
      <c r="E17" s="240">
        <f>IF(ISNUMBER(IF(D_I="SI",Datos!J17,Datos!J17+Datos!AD17)),IF(D_I="SI",Datos!J17,Datos!J17+Datos!AD17)," - ")</f>
        <v>218</v>
      </c>
      <c r="F17" s="240">
        <f>IF(ISNUMBER(IF(D_I="SI",Datos!K17,Datos!K17+Datos!AE17)),IF(D_I="SI",Datos!K17,Datos!K17+Datos!AE17)," - ")</f>
        <v>238</v>
      </c>
      <c r="G17" s="1390" t="str">
        <f>IF(Datos!E17&lt;&gt;"",Datos!E17,Datos!D17)</f>
        <v>04</v>
      </c>
      <c r="H17" s="241">
        <f>IF(ISNUMBER(IF(D_I="SI",Datos!L17,Datos!L17+Datos!AF17)),IF(D_I="SI",Datos!L17,Datos!L17+Datos!AF17)," - ")</f>
        <v>240</v>
      </c>
      <c r="I17" s="1400" t="str">
        <f>IF(ISNUMBER(Datos!AS17/Datos!BM17),Datos!AS17/Datos!BM17," - ")</f>
        <v xml:space="preserve"> - </v>
      </c>
      <c r="J17" s="1401">
        <f>IF(ISNUMBER(Datos!BY17/Datos!CN17),Datos!BY17/Datos!CN17," - ")</f>
        <v>0</v>
      </c>
      <c r="K17" s="244">
        <f t="shared" si="3"/>
        <v>-7.6923076923076927E-2</v>
      </c>
      <c r="L17" s="1402">
        <f>IF(ISNUMBER(NºAsuntos!I17/NºAsuntos!G17),(NºAsuntos!I17/NºAsuntos!G17)*11," - ")</f>
        <v>11.092436974789916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23</v>
      </c>
      <c r="F18" s="240">
        <f>IF(ISNUMBER(IF(D_I="SI",Datos!K18,Datos!K18+Datos!AE18)),IF(D_I="SI",Datos!K18,Datos!K18+Datos!AE18)," - ")</f>
        <v>23</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4.304347826086957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269</v>
      </c>
      <c r="D23" s="1407">
        <f>SUBTOTAL(9,D16:D22)</f>
        <v>269</v>
      </c>
      <c r="E23" s="1408">
        <f>SUBTOTAL(9,E16:E22)</f>
        <v>241</v>
      </c>
      <c r="F23" s="1408">
        <f>SUBTOTAL(9,F16:F22)</f>
        <v>261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271</v>
      </c>
      <c r="D31" s="1435">
        <f>SUBTOTAL(9,D9:D30)</f>
        <v>271</v>
      </c>
      <c r="E31" s="1436">
        <f>SUBTOTAL(9,E9:E30)</f>
        <v>243</v>
      </c>
      <c r="F31" s="1436">
        <f>SUBTOTAL(9,F9:F30)</f>
        <v>263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JKk/I9GBTSN+KE2MTyp9ptYB3VOvGgfFJArPRgW5gL/8J2uww2ERIUEh9SCx0Pi9sa8EM8181kII+NRLFmWrg==" saltValue="YnTgN29PPbKWPsv0Ur77+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5fk358XoJvX8/pyBpWSBgtiy5oRVdInNPu1QYYcfunow3xcEKCshHM8nHiareiDcUvt893b0JecO2esD0JgWg==" saltValue="6IaPFegRHt8jujifEUys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2</v>
      </c>
      <c r="L10" s="194">
        <v>2</v>
      </c>
      <c r="M10" s="194">
        <v>2</v>
      </c>
      <c r="N10" s="194">
        <v>0</v>
      </c>
      <c r="O10" s="194">
        <v>0</v>
      </c>
      <c r="P10" s="194">
        <v>0</v>
      </c>
      <c r="Q10" s="194">
        <v>0</v>
      </c>
      <c r="R10" s="194">
        <v>0</v>
      </c>
      <c r="S10" s="194">
        <v>2</v>
      </c>
      <c r="T10" s="194">
        <v>1</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402</v>
      </c>
      <c r="J12" s="196">
        <v>300</v>
      </c>
      <c r="K12" s="196">
        <v>216</v>
      </c>
      <c r="L12" s="196">
        <v>486</v>
      </c>
      <c r="M12" s="196">
        <v>85</v>
      </c>
      <c r="N12" s="196">
        <v>78</v>
      </c>
      <c r="O12" s="194">
        <v>126</v>
      </c>
      <c r="P12" s="196">
        <v>93</v>
      </c>
      <c r="Q12" s="196">
        <v>43</v>
      </c>
      <c r="R12" s="196">
        <v>982</v>
      </c>
      <c r="S12" s="196">
        <v>440</v>
      </c>
      <c r="T12" s="196">
        <v>262</v>
      </c>
      <c r="U12" s="196">
        <v>284</v>
      </c>
      <c r="V12" s="196">
        <v>418</v>
      </c>
      <c r="W12" s="196">
        <v>76</v>
      </c>
      <c r="X12" s="202">
        <v>106</v>
      </c>
      <c r="Y12" s="204">
        <v>51</v>
      </c>
      <c r="Z12" s="194">
        <v>31</v>
      </c>
      <c r="AA12" s="194">
        <v>36</v>
      </c>
      <c r="AB12" s="194">
        <v>46</v>
      </c>
      <c r="AC12" s="196">
        <v>0</v>
      </c>
      <c r="AD12" s="196">
        <v>0</v>
      </c>
      <c r="AE12" s="196">
        <v>0</v>
      </c>
      <c r="AF12" s="202">
        <v>0</v>
      </c>
      <c r="AG12" s="215">
        <v>49</v>
      </c>
      <c r="AH12" s="196">
        <v>32</v>
      </c>
      <c r="AI12" s="196">
        <v>34</v>
      </c>
      <c r="AJ12" s="216">
        <v>47</v>
      </c>
      <c r="AK12" s="195">
        <v>0</v>
      </c>
      <c r="AL12" s="196">
        <v>0</v>
      </c>
      <c r="AM12" s="196">
        <v>0</v>
      </c>
      <c r="AN12" s="202">
        <v>0</v>
      </c>
      <c r="AO12" s="283">
        <v>2</v>
      </c>
      <c r="AP12" s="168">
        <v>2</v>
      </c>
      <c r="AQ12" s="168">
        <v>2</v>
      </c>
      <c r="AR12" s="167">
        <v>2</v>
      </c>
      <c r="AS12" s="381" t="s">
        <v>1075</v>
      </c>
      <c r="AT12" s="216"/>
      <c r="AU12" s="215"/>
      <c r="AV12" s="216"/>
      <c r="AW12" s="215"/>
      <c r="AX12" s="216"/>
      <c r="AY12" s="136">
        <f t="shared" si="1"/>
        <v>489</v>
      </c>
      <c r="AZ12" s="137">
        <f t="shared" si="1"/>
        <v>294</v>
      </c>
      <c r="BA12" s="137">
        <f t="shared" si="1"/>
        <v>318</v>
      </c>
      <c r="BB12" s="137">
        <f t="shared" si="1"/>
        <v>465</v>
      </c>
      <c r="BC12" s="135">
        <f>IF(ISNUMBER(X12),X12," - ")</f>
        <v>106</v>
      </c>
      <c r="BD12" s="136">
        <f t="shared" si="2"/>
        <v>1.0816326530612246</v>
      </c>
      <c r="BE12" s="137">
        <f t="shared" si="3"/>
        <v>1.4622641509433962</v>
      </c>
      <c r="BF12" s="137">
        <f t="shared" si="4"/>
        <v>0.33333333333333331</v>
      </c>
      <c r="BG12" s="209">
        <f t="shared" si="5"/>
        <v>2.4622641509433962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404</v>
      </c>
      <c r="J14" s="197">
        <f t="shared" si="7"/>
        <v>302</v>
      </c>
      <c r="K14" s="197">
        <f t="shared" si="7"/>
        <v>218</v>
      </c>
      <c r="L14" s="197">
        <f t="shared" si="7"/>
        <v>488</v>
      </c>
      <c r="M14" s="197">
        <f t="shared" si="7"/>
        <v>87</v>
      </c>
      <c r="N14" s="197">
        <f t="shared" si="7"/>
        <v>78</v>
      </c>
      <c r="O14" s="197">
        <f t="shared" si="7"/>
        <v>126</v>
      </c>
      <c r="P14" s="197">
        <f t="shared" si="7"/>
        <v>93</v>
      </c>
      <c r="Q14" s="197">
        <f t="shared" si="7"/>
        <v>43</v>
      </c>
      <c r="R14" s="197">
        <f t="shared" si="7"/>
        <v>982</v>
      </c>
      <c r="S14" s="197">
        <f t="shared" si="7"/>
        <v>442</v>
      </c>
      <c r="T14" s="197">
        <f t="shared" si="7"/>
        <v>263</v>
      </c>
      <c r="U14" s="197">
        <f t="shared" si="7"/>
        <v>285</v>
      </c>
      <c r="V14" s="197">
        <f t="shared" si="7"/>
        <v>420</v>
      </c>
      <c r="W14" s="197">
        <f t="shared" si="7"/>
        <v>76</v>
      </c>
      <c r="X14" s="197">
        <f t="shared" si="7"/>
        <v>107</v>
      </c>
      <c r="Y14" s="197">
        <f t="shared" si="7"/>
        <v>51</v>
      </c>
      <c r="Z14" s="197">
        <f t="shared" si="7"/>
        <v>31</v>
      </c>
      <c r="AA14" s="197">
        <f t="shared" si="7"/>
        <v>36</v>
      </c>
      <c r="AB14" s="197">
        <f t="shared" si="7"/>
        <v>46</v>
      </c>
      <c r="AC14" s="197">
        <f t="shared" si="7"/>
        <v>0</v>
      </c>
      <c r="AD14" s="197">
        <f t="shared" si="7"/>
        <v>0</v>
      </c>
      <c r="AE14" s="197">
        <f t="shared" si="7"/>
        <v>0</v>
      </c>
      <c r="AF14" s="197">
        <f>SUBTOTAL(9,AF9:AF13)</f>
        <v>0</v>
      </c>
      <c r="AG14" s="197">
        <f t="shared" ref="AG14:AT14" si="8">SUBTOTAL(9,AG8:AG13)</f>
        <v>49</v>
      </c>
      <c r="AH14" s="197">
        <f t="shared" si="8"/>
        <v>32</v>
      </c>
      <c r="AI14" s="197">
        <f t="shared" si="8"/>
        <v>34</v>
      </c>
      <c r="AJ14" s="197">
        <f t="shared" si="8"/>
        <v>47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491</v>
      </c>
      <c r="AZ14" s="197">
        <f>SUBTOTAL(9,AZ8:AZ13)</f>
        <v>295</v>
      </c>
      <c r="BA14" s="197">
        <f>SUBTOTAL(9,BA8:BA13)</f>
        <v>319</v>
      </c>
      <c r="BB14" s="197">
        <f>SUBTOTAL(9,BB8:BB13)</f>
        <v>467</v>
      </c>
      <c r="BC14" s="197">
        <f>SUBTOTAL(9,BC8:BC13)</f>
        <v>106</v>
      </c>
      <c r="BD14" s="219">
        <f>IF(ISNUMBER(BA14/AZ14),BA14/AZ14," - ")</f>
        <v>1.0813559322033899</v>
      </c>
      <c r="BE14" s="220">
        <f>IF(ISNUMBER(BB14/BA14),BB14/BA14, " - ")</f>
        <v>1.4639498432601881</v>
      </c>
      <c r="BF14" s="220">
        <f>IF(ISNUMBER(BC14/BA14),BC14/BA14, " - ")</f>
        <v>0.33228840125391851</v>
      </c>
      <c r="BG14" s="221">
        <f>IF(ISNUMBER((AY14+AZ14)/BA14),(AY14+AZ14)/BA14," - ")</f>
        <v>2.4639498432601883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260</v>
      </c>
      <c r="J17" s="196">
        <v>218</v>
      </c>
      <c r="K17" s="196">
        <v>238</v>
      </c>
      <c r="L17" s="196">
        <v>240</v>
      </c>
      <c r="M17" s="196">
        <v>34</v>
      </c>
      <c r="N17" s="196">
        <v>153</v>
      </c>
      <c r="O17" s="194">
        <v>0</v>
      </c>
      <c r="P17" s="196">
        <v>13</v>
      </c>
      <c r="Q17" s="196">
        <v>12</v>
      </c>
      <c r="R17" s="196">
        <v>62</v>
      </c>
      <c r="S17" s="196">
        <v>288</v>
      </c>
      <c r="T17" s="196">
        <v>181</v>
      </c>
      <c r="U17" s="196">
        <v>196</v>
      </c>
      <c r="V17" s="196">
        <v>283</v>
      </c>
      <c r="W17" s="196">
        <v>37</v>
      </c>
      <c r="X17" s="202">
        <v>112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288</v>
      </c>
      <c r="AZ17" s="137">
        <f t="shared" si="10"/>
        <v>181</v>
      </c>
      <c r="BA17" s="137">
        <f t="shared" si="10"/>
        <v>196</v>
      </c>
      <c r="BB17" s="137">
        <f t="shared" si="10"/>
        <v>283</v>
      </c>
      <c r="BC17" s="135">
        <f>IF(ISNUMBER(W17),W17," - ")</f>
        <v>37</v>
      </c>
      <c r="BD17" s="136">
        <f t="shared" ref="BD17:BD22" si="12">IF(ISNUMBER(BA17/AZ17),BA17/AZ17," - ")</f>
        <v>1.0828729281767955</v>
      </c>
      <c r="BE17" s="137">
        <f t="shared" ref="BE17:BE22" si="13">IF(ISNUMBER(BB17/BA17),BB17/BA17, " - ")</f>
        <v>1.4438775510204083</v>
      </c>
      <c r="BF17" s="137">
        <f t="shared" ref="BF17:BF22" si="14">IF(ISNUMBER(BC17/BA17),BC17/BA17, " - ")</f>
        <v>0.18877551020408162</v>
      </c>
      <c r="BG17" s="209">
        <f t="shared" si="11"/>
        <v>2.3928571428571428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23</v>
      </c>
      <c r="K18" s="196">
        <v>23</v>
      </c>
      <c r="L18" s="196">
        <v>9</v>
      </c>
      <c r="M18" s="196">
        <v>4</v>
      </c>
      <c r="N18" s="196">
        <v>17</v>
      </c>
      <c r="O18" s="196">
        <v>0</v>
      </c>
      <c r="P18" s="196">
        <v>0</v>
      </c>
      <c r="Q18" s="196">
        <v>0</v>
      </c>
      <c r="R18" s="196">
        <v>0</v>
      </c>
      <c r="S18" s="196">
        <v>29</v>
      </c>
      <c r="T18" s="196">
        <v>24</v>
      </c>
      <c r="U18" s="196">
        <v>33</v>
      </c>
      <c r="V18" s="196">
        <v>30</v>
      </c>
      <c r="W18" s="196">
        <v>5</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24</v>
      </c>
      <c r="BA18" s="139">
        <f t="shared" si="15"/>
        <v>33</v>
      </c>
      <c r="BB18" s="139">
        <f t="shared" si="15"/>
        <v>30</v>
      </c>
      <c r="BC18" s="135">
        <f>IF(ISNUMBER(W18),W18," - ")</f>
        <v>5</v>
      </c>
      <c r="BD18" s="136">
        <f>IF(ISNUMBER(BA18/AZ18),BA18/AZ18," - ")</f>
        <v>1.375</v>
      </c>
      <c r="BE18" s="137">
        <f>IF(ISNUMBER(BB18/BA18),BB18/BA18, " - ")</f>
        <v>0.90909090909090906</v>
      </c>
      <c r="BF18" s="137">
        <f>IF(ISNUMBER(BC18/BA18),BC18/BA18, " - ")</f>
        <v>0.15151515151515152</v>
      </c>
      <c r="BG18" s="209">
        <f>IF(ISNUMBER((AY18+AZ18)/BA18),(AY18+AZ18)/BA18," - ")</f>
        <v>1.606060606060606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269</v>
      </c>
      <c r="J23" s="197">
        <f t="shared" si="21"/>
        <v>241</v>
      </c>
      <c r="K23" s="197">
        <f t="shared" si="21"/>
        <v>261</v>
      </c>
      <c r="L23" s="197">
        <f t="shared" si="21"/>
        <v>249</v>
      </c>
      <c r="M23" s="197">
        <f t="shared" si="21"/>
        <v>38</v>
      </c>
      <c r="N23" s="197">
        <f t="shared" si="21"/>
        <v>170</v>
      </c>
      <c r="O23" s="197">
        <f t="shared" si="21"/>
        <v>0</v>
      </c>
      <c r="P23" s="197">
        <f t="shared" si="21"/>
        <v>13</v>
      </c>
      <c r="Q23" s="197">
        <f t="shared" si="21"/>
        <v>12</v>
      </c>
      <c r="R23" s="197">
        <f t="shared" si="21"/>
        <v>62</v>
      </c>
      <c r="S23" s="197">
        <f t="shared" si="21"/>
        <v>317</v>
      </c>
      <c r="T23" s="197">
        <f t="shared" si="21"/>
        <v>205</v>
      </c>
      <c r="U23" s="197">
        <f t="shared" si="21"/>
        <v>229</v>
      </c>
      <c r="V23" s="197">
        <f t="shared" si="21"/>
        <v>313</v>
      </c>
      <c r="W23" s="197">
        <f t="shared" si="21"/>
        <v>42</v>
      </c>
      <c r="X23" s="197">
        <f t="shared" si="21"/>
        <v>132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317</v>
      </c>
      <c r="AZ23" s="197">
        <f>SUBTOTAL(9,AZ15:AZ22)</f>
        <v>205</v>
      </c>
      <c r="BA23" s="197">
        <f>SUBTOTAL(9,BA15:BA22)</f>
        <v>229</v>
      </c>
      <c r="BB23" s="197">
        <f>SUBTOTAL(9,BB15:BB22)</f>
        <v>313</v>
      </c>
      <c r="BC23" s="197">
        <f>SUBTOTAL(9,BC15:BC22)</f>
        <v>42</v>
      </c>
      <c r="BD23" s="219">
        <f>IF(ISNUMBER(BA23/AZ23),BA23/AZ23," - ")</f>
        <v>1.1170731707317074</v>
      </c>
      <c r="BE23" s="220">
        <f>IF(ISNUMBER(BB23/BA23),BB23/BA23, " - ")</f>
        <v>1.3668122270742358</v>
      </c>
      <c r="BF23" s="220">
        <f>IF(ISNUMBER(BC23/BA23),BC23/BA23, " - ")</f>
        <v>0.18340611353711792</v>
      </c>
      <c r="BG23" s="221">
        <f>IF(ISNUMBER((AY23+AZ23)/BA23),(AY23+AZ23)/BA23," - ")</f>
        <v>2.2794759825327513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673</v>
      </c>
      <c r="J31" s="144">
        <f t="shared" si="36"/>
        <v>543</v>
      </c>
      <c r="K31" s="144">
        <f t="shared" si="36"/>
        <v>479</v>
      </c>
      <c r="L31" s="144">
        <f t="shared" si="36"/>
        <v>737</v>
      </c>
      <c r="M31" s="144">
        <f t="shared" si="36"/>
        <v>125</v>
      </c>
      <c r="N31" s="144">
        <f t="shared" si="36"/>
        <v>248</v>
      </c>
      <c r="O31" s="144">
        <f t="shared" si="36"/>
        <v>126</v>
      </c>
      <c r="P31" s="144">
        <f t="shared" si="36"/>
        <v>106</v>
      </c>
      <c r="Q31" s="144">
        <f t="shared" si="36"/>
        <v>55</v>
      </c>
      <c r="R31" s="144">
        <f t="shared" si="36"/>
        <v>1044</v>
      </c>
      <c r="S31" s="144">
        <f t="shared" si="36"/>
        <v>759</v>
      </c>
      <c r="T31" s="144">
        <f t="shared" si="36"/>
        <v>468</v>
      </c>
      <c r="U31" s="144">
        <f t="shared" si="36"/>
        <v>514</v>
      </c>
      <c r="V31" s="144">
        <f t="shared" si="36"/>
        <v>733</v>
      </c>
      <c r="W31" s="144">
        <f t="shared" si="36"/>
        <v>118</v>
      </c>
      <c r="X31" s="144">
        <f t="shared" si="36"/>
        <v>239</v>
      </c>
      <c r="Y31" s="144">
        <f t="shared" si="36"/>
        <v>51</v>
      </c>
      <c r="Z31" s="144">
        <f t="shared" si="36"/>
        <v>31</v>
      </c>
      <c r="AA31" s="144">
        <f t="shared" si="36"/>
        <v>36</v>
      </c>
      <c r="AB31" s="144">
        <f t="shared" si="36"/>
        <v>46</v>
      </c>
      <c r="AC31" s="144">
        <f t="shared" si="36"/>
        <v>0</v>
      </c>
      <c r="AD31" s="144">
        <f t="shared" si="36"/>
        <v>0</v>
      </c>
      <c r="AE31" s="144">
        <f t="shared" si="36"/>
        <v>0</v>
      </c>
      <c r="AF31" s="144">
        <f t="shared" si="36"/>
        <v>0</v>
      </c>
      <c r="AG31" s="144">
        <f t="shared" si="36"/>
        <v>49</v>
      </c>
      <c r="AH31" s="144">
        <f t="shared" si="36"/>
        <v>32</v>
      </c>
      <c r="AI31" s="144">
        <f t="shared" si="36"/>
        <v>34</v>
      </c>
      <c r="AJ31" s="144">
        <f t="shared" si="36"/>
        <v>47</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808</v>
      </c>
      <c r="AZ31" s="144">
        <f>SUBTOTAL(9,AZ9:AZ30)</f>
        <v>500</v>
      </c>
      <c r="BA31" s="144">
        <f>SUBTOTAL(9,BA9:BA30)</f>
        <v>548</v>
      </c>
      <c r="BB31" s="144">
        <f>SUBTOTAL(9,BB9:BB30)</f>
        <v>780</v>
      </c>
      <c r="BC31" s="145">
        <f>SUBTOTAL(9,BC9:BC30)</f>
        <v>148</v>
      </c>
      <c r="BD31" s="227">
        <f>IF(ISNUMBER(BA31/AZ31),BA31/AZ31," - ")</f>
        <v>1.0960000000000001</v>
      </c>
      <c r="BE31" s="224">
        <f>IF(ISNUMBER(BB31/BA31),BB31/BA31, " - ")</f>
        <v>1.4233576642335766</v>
      </c>
      <c r="BF31" s="224">
        <f>IF(ISNUMBER(BC31/BA31),BC31/BA31, " - ")</f>
        <v>0.27007299270072993</v>
      </c>
      <c r="BG31" s="145">
        <f>IF(ISNUMBER((AY31+AZ31)/BA31),(AY31+AZ31)/BA31," - ")</f>
        <v>2.386861313868613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80fehDBGijMRFUN6EWGu1PsavejTxuAf5fMv8EpYXpQaYxdqPhkvtkOqWLhz/hHSk9/3RVAKQX1d2hjVHekA==" saltValue="vDutGozcyex/9+aer9DT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VcOQASA1K2s1fl5uGYNeFaCHBz2y7e8YF7iEKToRv+mVO8P+Fypyk6KkU+4xmYjcgVGGfs+krfsBbpbAdTj/A==" saltValue="92DGQInCjGctTjKaGD5O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LAVIANA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982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85</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0.76132930513595165</v>
      </c>
      <c r="BH12" s="764">
        <f>IF(ISNUMBER(((IF(J_V="SI",Datos!L12/Datos!K12,(Datos!L12+Datos!AB12)/(Datos!K12+Datos!AA12)))*11)/factor_trimestre),((IF(J_V="SI",Datos!L12/Datos!K12,(Datos!L12+Datos!AB12)/(Datos!K12+Datos!AA12)))*11)/factor_trimestre," - ")</f>
        <v>6.333333333333333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5.3648068669527899E-2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43</v>
      </c>
      <c r="AD14" s="1198">
        <f t="shared" si="2"/>
        <v>0</v>
      </c>
      <c r="AE14" s="1198">
        <f t="shared" si="2"/>
        <v>0</v>
      </c>
      <c r="AF14" s="1198">
        <f t="shared" si="2"/>
        <v>2</v>
      </c>
      <c r="AG14" s="1198">
        <f t="shared" si="2"/>
        <v>0</v>
      </c>
      <c r="AH14" s="1198">
        <f t="shared" si="2"/>
        <v>46</v>
      </c>
      <c r="AI14" s="1198">
        <f t="shared" si="2"/>
        <v>0</v>
      </c>
      <c r="AJ14" s="1198">
        <f t="shared" si="2"/>
        <v>0</v>
      </c>
      <c r="AK14" s="1198">
        <f t="shared" si="2"/>
        <v>0</v>
      </c>
      <c r="AL14" s="1198">
        <f t="shared" si="2"/>
        <v>0</v>
      </c>
      <c r="AM14" s="1198">
        <f t="shared" si="2"/>
        <v>982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87</v>
      </c>
      <c r="BD14" s="1198">
        <f t="shared" si="2"/>
        <v>78</v>
      </c>
      <c r="BE14" s="1198">
        <f t="shared" si="2"/>
        <v>0</v>
      </c>
      <c r="BF14" s="1198">
        <f t="shared" si="2"/>
        <v>0</v>
      </c>
      <c r="BG14" s="1198">
        <f>IF(ISNUMBER(Datos!K14/Datos!J14),Datos!K14/Datos!J14," - ")</f>
        <v>0.72185430463576161</v>
      </c>
      <c r="BH14" s="1202">
        <f>IF(ISNUMBER(((Datos!L14/Datos!K14)*11)/factor_trimestre),((Datos!L14/Datos!K14)*11)/factor_trimestre," - ")</f>
        <v>6.7155963302752291</v>
      </c>
      <c r="BI14" s="1198">
        <f>IF(ISNUMBER('Resol  Asuntos'!D14/NºAsuntos!G14),'Resol  Asuntos'!D14/NºAsuntos!G14," - ")</f>
        <v>0.34251968503937008</v>
      </c>
      <c r="BJ14" s="1198" t="str">
        <f>IF(ISNUMBER(Datos!CI14/Datos!CJ14),Datos!CI14/Datos!CJ14," - ")</f>
        <v xml:space="preserve"> - </v>
      </c>
      <c r="BK14" s="1198">
        <f>SUBTOTAL(9,BK8:BK13)</f>
        <v>0</v>
      </c>
      <c r="BL14" s="1198">
        <f>IF(ISNUMBER((I14-AB14+L14)/(F14)),(I14-AB14+L14)/(F14)," - ")</f>
        <v>-1</v>
      </c>
      <c r="BM14" s="1203">
        <f>SUBTOTAL(9,BM9:BM13)</f>
        <v>5.3648068669527899E-2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260</v>
      </c>
      <c r="G17" s="743">
        <f>IF(ISNUMBER(IF(D_I="SI",Datos!I17,Datos!I17+Datos!AC17)),IF(D_I="SI",Datos!I17,Datos!I17+Datos!AC17)," - ")</f>
        <v>260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238</v>
      </c>
      <c r="AC17" s="240">
        <f>IF(ISNUMBER(Datos!Q17),Datos!Q17," - ")</f>
        <v>12</v>
      </c>
      <c r="AD17" s="374"/>
      <c r="AE17" s="562"/>
      <c r="AF17" s="741">
        <f>IF(ISNUMBER(IF(D_I="SI",Datos!L17,Datos!L17+Datos!AF17)),IF(D_I="SI",Datos!L17,Datos!L17+Datos!AF17)," - ")</f>
        <v>240</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153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1.0917431192660549</v>
      </c>
      <c r="BH17" s="764">
        <f>IF(ISNUMBER(((IF(D_I="SI",Datos!L17/Datos!K17,(Datos!L17+Datos!AF17)/(Datos!K17+Datos!AE17)))*11)/factor_trimestre),((IF(D_I="SI",Datos!L17/Datos!K17,(Datos!L17+Datos!AF17)/(Datos!K17+Datos!AE17)))*11)/factor_trimestre," - ")</f>
        <v>3.0252100840336134</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1.173913043478261</v>
      </c>
      <c r="BI18" s="763">
        <f>IF(ISNUMBER('Resol  Asuntos'!D18/NºAsuntos!G18),'Resol  Asuntos'!D18/NºAsuntos!G18," - ")</f>
        <v>0.17391304347826086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260</v>
      </c>
      <c r="G23" s="1197">
        <f>SUBTOTAL(9,G16:G22)</f>
        <v>269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261</v>
      </c>
      <c r="AC23" s="1198">
        <f t="shared" si="5"/>
        <v>12</v>
      </c>
      <c r="AD23" s="1198">
        <f t="shared" si="5"/>
        <v>0</v>
      </c>
      <c r="AE23" s="1198">
        <f t="shared" si="5"/>
        <v>0</v>
      </c>
      <c r="AF23" s="1198">
        <f t="shared" si="5"/>
        <v>249</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170</v>
      </c>
      <c r="BE23" s="1198">
        <f t="shared" si="5"/>
        <v>0</v>
      </c>
      <c r="BF23" s="1198">
        <f t="shared" si="5"/>
        <v>0</v>
      </c>
      <c r="BG23" s="1198">
        <f>IF(ISNUMBER(Datos!K23/Datos!J23),Datos!K23/Datos!J23," - ")</f>
        <v>1.0829875518672198</v>
      </c>
      <c r="BH23" s="1202">
        <f>IF(ISNUMBER(((Datos!L23/Datos!K23)*11)/factor_trimestre),((Datos!L23/Datos!K23)*11)/factor_trimestre," - ")</f>
        <v>2.8620689655172411</v>
      </c>
      <c r="BI23" s="1198">
        <f>SUBTOTAL(9,BI16:BI22)</f>
        <v>0.31677018633540371</v>
      </c>
      <c r="BJ23" s="1198">
        <f>SUBTOTAL(9,BJ16:BJ22)</f>
        <v>0</v>
      </c>
      <c r="BK23" s="1198">
        <f>SUBTOTAL(9,BK16:BK22)</f>
        <v>0</v>
      </c>
      <c r="BL23" s="1198">
        <f>IF(ISNUMBER((I23-AB23+L23)/(F23)),(I23-AB23+L23)/(F23)," - ")</f>
        <v>-1.0038461538461538</v>
      </c>
      <c r="BM23" s="1205">
        <f>IF(ISNUMBER((Datos!P23-Datos!Q23)/(Datos!R23-Datos!P23+Datos!Q23)),(Datos!P23-Datos!Q23)/(Datos!R23-Datos!P23+Datos!Q23)," - ")</f>
        <v>1.6393442622950821E-2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262</v>
      </c>
      <c r="G31" s="1117">
        <f t="shared" si="18"/>
        <v>271</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v>
      </c>
      <c r="AC31" s="1118">
        <f t="shared" si="19"/>
        <v>55</v>
      </c>
      <c r="AD31" s="1118">
        <f t="shared" si="19"/>
        <v>0</v>
      </c>
      <c r="AE31" s="1118">
        <f t="shared" si="19"/>
        <v>0</v>
      </c>
      <c r="AF31" s="1125">
        <f t="shared" si="19"/>
        <v>251</v>
      </c>
      <c r="AG31" s="1125">
        <f t="shared" si="19"/>
        <v>0</v>
      </c>
      <c r="AH31" s="1125">
        <f t="shared" si="19"/>
        <v>46</v>
      </c>
      <c r="AI31" s="1125">
        <f t="shared" si="19"/>
        <v>0</v>
      </c>
      <c r="AJ31" s="1118">
        <f t="shared" si="19"/>
        <v>0</v>
      </c>
      <c r="AK31" s="1125">
        <f t="shared" si="19"/>
        <v>0</v>
      </c>
      <c r="AL31" s="1125">
        <f t="shared" si="19"/>
        <v>0</v>
      </c>
      <c r="AM31" s="1125">
        <f t="shared" si="19"/>
        <v>1044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248</v>
      </c>
      <c r="BE31" s="1117">
        <f t="shared" si="19"/>
        <v>0</v>
      </c>
      <c r="BF31" s="1127">
        <f t="shared" si="19"/>
        <v>0</v>
      </c>
      <c r="BG31" s="1223">
        <f>IF(ISNUMBER(Datos!K31/Datos!J31),Datos!K31/Datos!J31," - ")</f>
        <v>0.88213627992633514</v>
      </c>
      <c r="BH31" s="1223">
        <f>IF(ISNUMBER(((Datos!L31/Datos!K31)*11)/factor_trimestre),((Datos!L31/Datos!K31)*11)/factor_trimestre," - ")</f>
        <v>4.6158663883089774</v>
      </c>
      <c r="BI31" s="1103">
        <f>IF(ISNUMBER(Datos!J31/Datos!I31),Datos!J31/Datos!I31," - ")</f>
        <v>0.80683506686478457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-1.0038167938931297</v>
      </c>
      <c r="BM31" s="1188">
        <f>IF(ISNUMBER((Datos!P31-Datos!Q31+R31)/(Datos!R31-Datos!P31+Datos!Q31-R31)),(Datos!P31-Datos!Q31+R31)/(Datos!R31-Datos!P31+Datos!Q31-R31)," - ")</f>
        <v>5.1359516616314202E-2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133.75001557632308</v>
      </c>
      <c r="G33" s="674">
        <f>IF(ISNUMBER(STDEV(G8:G30)),STDEV(G8:G30),"-")</f>
        <v>127.85650438787115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119.56647881886819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37.035697065707524</v>
      </c>
      <c r="BD33" s="673"/>
      <c r="BE33" s="673">
        <f>IF(ISNUMBER(STDEV(BE8:BE30)),STDEV(BE8:BE30),"-")</f>
        <v>0</v>
      </c>
      <c r="BF33" s="678">
        <f>IF(ISNUMBER(STDEV(BF8:BF30)),STDEV(BF8:BF30),"-")</f>
        <v>0</v>
      </c>
      <c r="BG33" s="1052">
        <f>IF(ISNUMBER(STDEV(BG8:BG30)),STDEV(BG8:BG30),"-")</f>
        <v>0.16132494471262998</v>
      </c>
      <c r="BH33" s="1058">
        <f>IF(ISNUMBER(STDEV(BH8:BH30)),STDEV(BH8:BH30),"-")</f>
        <v>2.1871807072474918</v>
      </c>
      <c r="BI33" s="273">
        <f>IF(ISNUMBER(STDEV(BI8:BI30)),STDEV(BI8:BI30),"-")</f>
        <v>0.10023919140953885</v>
      </c>
      <c r="BJ33" s="244" t="str">
        <f>IF(ISNUMBER(BL33/BM33),BL33/BM33," - ")</f>
        <v xml:space="preserve"> - </v>
      </c>
      <c r="BK33" s="709"/>
      <c r="BL33" s="681">
        <f>IF(ISNUMBER(STDEV(BL8:BL30)),STDEV(BL8:BL30),"-")</f>
        <v>2.7196414661020962E-3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6rp3uccILP9YPHKow+pSeWJE9bByPHNBcSyfSnQxlfyuKN7uccUggh2SipTeKixrCEIP924i4bcKtybxKkCWw==" saltValue="uLKs9pgCDLJp5qwMQ+UN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LAVIANA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982</v>
      </c>
      <c r="AF12" s="693" t="str">
        <f>IF(ISNUMBER(Datos!BV12),Datos!BV12," - ")</f>
        <v xml:space="preserve"> - </v>
      </c>
      <c r="AG12" s="552" t="str">
        <f>IF(ISNUMBER(Datos!DV12),Datos!DV12," - ")</f>
        <v xml:space="preserve"> - </v>
      </c>
      <c r="AH12" s="553"/>
      <c r="AI12" s="554"/>
      <c r="AJ12" s="552">
        <f>IF(ISNUMBER(Datos!M12),Datos!M12," - ")</f>
        <v>85</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6.333333333333333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5.3648068669527899E-2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43</v>
      </c>
      <c r="AA14" s="1199">
        <f t="shared" si="3"/>
        <v>2</v>
      </c>
      <c r="AB14" s="1199">
        <f t="shared" si="3"/>
        <v>0</v>
      </c>
      <c r="AC14" s="1199">
        <f t="shared" si="3"/>
        <v>0</v>
      </c>
      <c r="AD14" s="1199">
        <f t="shared" si="3"/>
        <v>0</v>
      </c>
      <c r="AE14" s="1199">
        <f t="shared" si="3"/>
        <v>982</v>
      </c>
      <c r="AF14" s="1211">
        <f t="shared" si="3"/>
        <v>0</v>
      </c>
      <c r="AG14" s="1211">
        <f t="shared" si="3"/>
        <v>0</v>
      </c>
      <c r="AH14" s="1211">
        <f t="shared" si="3"/>
        <v>0</v>
      </c>
      <c r="AI14" s="1211">
        <f t="shared" si="3"/>
        <v>0</v>
      </c>
      <c r="AJ14" s="1211">
        <f t="shared" si="3"/>
        <v>87</v>
      </c>
      <c r="AK14" s="1211">
        <f t="shared" si="3"/>
        <v>78</v>
      </c>
      <c r="AL14" s="1211">
        <f t="shared" si="3"/>
        <v>0</v>
      </c>
      <c r="AM14" s="1211">
        <f t="shared" si="3"/>
        <v>0</v>
      </c>
      <c r="AN14" s="1211">
        <f t="shared" si="3"/>
        <v>0</v>
      </c>
      <c r="AO14" s="1203">
        <f>IF(ISNUMBER(((NºAsuntos!I14/NºAsuntos!G14)*11)/factor_trimestre),((NºAsuntos!I14/NºAsuntos!G14)*11)/factor_trimestre," - ")</f>
        <v>6.3070866141732287</v>
      </c>
      <c r="AP14" s="1213" t="str">
        <f>IF(ISNUMBER(Datos!CI14/Datos!CJ14),Datos!CI14/Datos!CJ14," - ")</f>
        <v xml:space="preserve"> - </v>
      </c>
      <c r="AQ14" s="1236">
        <f t="shared" ref="AQ14:AV14" si="4">SUBTOTAL(9,AQ9:AQ13)</f>
        <v>0</v>
      </c>
      <c r="AR14" s="1236">
        <f t="shared" si="4"/>
        <v>5.3648068669527899E-2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260</v>
      </c>
      <c r="G17" s="552">
        <f>IF(ISNUMBER(IF(D_I="SI",Datos!I17,Datos!I17+Datos!AC17)),IF(D_I="SI",Datos!I17,Datos!I17+Datos!AC17)," - ")</f>
        <v>260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238</v>
      </c>
      <c r="Z17" s="805">
        <f>IF(ISNUMBER(Datos!Q17),Datos!Q17," - ")</f>
        <v>12</v>
      </c>
      <c r="AA17" s="551">
        <f>IF(ISNUMBER(IF(D_I="SI",Datos!L17,Datos!L17+Datos!AF17)),IF(D_I="SI",Datos!L17,Datos!L17+Datos!AF17)," - ")</f>
        <v>240</v>
      </c>
      <c r="AB17" s="549"/>
      <c r="AC17" s="549"/>
      <c r="AD17" s="563"/>
      <c r="AE17" s="563">
        <f>IF(ISNUMBER(Datos!R17),Datos!R17," - ")</f>
        <v>62</v>
      </c>
      <c r="AF17" s="693" t="str">
        <f>IF(ISNUMBER(Datos!BV17),Datos!BV17," - ")</f>
        <v xml:space="preserve"> - </v>
      </c>
      <c r="AG17" s="552"/>
      <c r="AH17" s="553"/>
      <c r="AI17" s="554"/>
      <c r="AJ17" s="552">
        <f>IF(ISNUMBER(Datos!M17),Datos!M17," - ")</f>
        <v>34</v>
      </c>
      <c r="AK17" s="693">
        <f>IF(ISNUMBER(Datos!N17),Datos!N17," - ")</f>
        <v>153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3.0252100840336134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1.173913043478261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260</v>
      </c>
      <c r="G23" s="1197">
        <f>SUBTOTAL(9,G16:G22)</f>
        <v>269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261</v>
      </c>
      <c r="Z23" s="1240">
        <f t="shared" si="6"/>
        <v>12</v>
      </c>
      <c r="AA23" s="1240">
        <f t="shared" si="6"/>
        <v>249</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38</v>
      </c>
      <c r="AK23" s="1240">
        <f t="shared" si="6"/>
        <v>170</v>
      </c>
      <c r="AL23" s="1240">
        <f t="shared" si="6"/>
        <v>0</v>
      </c>
      <c r="AM23" s="1240">
        <f t="shared" si="6"/>
        <v>0</v>
      </c>
      <c r="AN23" s="1240">
        <f t="shared" si="6"/>
        <v>0</v>
      </c>
      <c r="AO23" s="1242">
        <f>IF(ISNUMBER(((NºAsuntos!I23/NºAsuntos!G23)*11)/factor_trimestre),((NºAsuntos!I23/NºAsuntos!G23)*11)/factor_trimestre," - ")</f>
        <v>2.8620689655172411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262</v>
      </c>
      <c r="G31" s="1117">
        <f t="shared" si="12"/>
        <v>271</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v>
      </c>
      <c r="Z31" s="1124">
        <f t="shared" si="13"/>
        <v>55</v>
      </c>
      <c r="AA31" s="1125">
        <f t="shared" si="13"/>
        <v>251</v>
      </c>
      <c r="AB31" s="1125">
        <f t="shared" si="13"/>
        <v>0</v>
      </c>
      <c r="AC31" s="1125">
        <f t="shared" si="13"/>
        <v>0</v>
      </c>
      <c r="AD31" s="1126">
        <f t="shared" si="13"/>
        <v>0</v>
      </c>
      <c r="AE31" s="1126">
        <f t="shared" si="13"/>
        <v>1044</v>
      </c>
      <c r="AF31" s="1127">
        <f t="shared" si="13"/>
        <v>0</v>
      </c>
      <c r="AG31" s="1128">
        <f t="shared" si="13"/>
        <v>0</v>
      </c>
      <c r="AH31" s="1129">
        <f t="shared" si="13"/>
        <v>0</v>
      </c>
      <c r="AI31" s="1127">
        <f t="shared" si="13"/>
        <v>0</v>
      </c>
      <c r="AJ31" s="1117">
        <f t="shared" si="13"/>
        <v>125</v>
      </c>
      <c r="AK31" s="1117">
        <f t="shared" si="13"/>
        <v>248</v>
      </c>
      <c r="AL31" s="1117">
        <f t="shared" si="13"/>
        <v>0</v>
      </c>
      <c r="AM31" s="1130">
        <f t="shared" si="13"/>
        <v>0</v>
      </c>
      <c r="AN31" s="1120">
        <f>IF(ISNUMBER(Datos!K31/Datos!J31),Datos!K31/Datos!J31," - ")</f>
        <v>0.88213627992633514</v>
      </c>
      <c r="AO31" s="1120">
        <f>IF(ISNUMBER(FIND("06",Criterios!A8,1)),(IF(ISNUMBER(((Datos!R31/Datos!Q31)*11)/factor_trimestre),((Datos!R31/Datos!Q31)*11)/factor_trimestre," - ")),(IF(ISNUMBER(((Datos!L31/Datos!K31)*11)/factor_trimestre),((Datos!L31/Datos!K31)*11)/factor_trimestre," - ")))</f>
        <v>4.6158663883089774</v>
      </c>
      <c r="AP31" s="1131" t="str">
        <f>IF(ISNUMBER(Datos!CI31/Datos!CJ31),Datos!CI31/Datos!CJ31," - ")</f>
        <v xml:space="preserve"> - </v>
      </c>
      <c r="AQ31" s="1131">
        <f>IF(OR(ISNUMBER(FIND("01",Criterios!A8,1)),ISNUMBER(FIND("02",Criterios!A8,1)),ISNUMBER(FIND("03",Criterios!A8,1)),ISNUMBER(FIND("04",Criterios!A8,1))),(J31-Y31+K31)/(F31-K31),(I31-Y31+K31)/(F31-K31))</f>
        <v>-1.0038167938931297</v>
      </c>
      <c r="AR31" s="1131">
        <f>IF(ISNUMBER((Datos!P31-Datos!Q31+O31)/(Datos!R31-Datos!P31+Datos!Q31-O31)),(Datos!P31-Datos!Q31+O31)/(Datos!R31-Datos!P31+Datos!Q31-O31)," - ")</f>
        <v>5.1359516616314202E-2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133.75001557632308</v>
      </c>
      <c r="G33" s="674">
        <f>IF(ISNUMBER(STDEV(G8:G30)),STDEV(G8:G30),"-")</f>
        <v>127.85650438787115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37.035697065707524</v>
      </c>
      <c r="AK33" s="276"/>
      <c r="AL33" s="276">
        <f>IF(ISNUMBER(STDEV(AL8:AL30)),STDEV(AL8:AL30),"-")</f>
        <v>0</v>
      </c>
      <c r="AM33" s="278">
        <f>IF(ISNUMBER(STDEV(AM8:AM30)),STDEV(AM8:AM30),"-")</f>
        <v>0</v>
      </c>
      <c r="AN33" s="660">
        <f>IF(ISNUMBER(STDEV(AN8:AN30)),STDEV(AN8:AN30),"-")</f>
        <v>0</v>
      </c>
      <c r="AO33" s="661">
        <f>IF(ISNUMBER(STDEV(AO8:AO30)),STDEV(AO8:AO30),"-")</f>
        <v>2.0841302476665158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vKO3AM2/0hpYlBOx0je0N3f21TIUAQ4HXrTRDP3aHClwr02oq/IcQaXR8lvxTt0xFO45FqoT1kZt+6UUkceVw==" saltValue="Y8K/Nu9dZYPFNhYSLvcc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dikftof+eIh50UvCWoJwmZE7DNphKQrQXyymA503gJwbdbyQXT5lcE5ckuMOi/qCTLm7Fd5FmomSamCkmLiZA==" saltValue="vJ84s4aqDnHMvvgWmA2q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xN/CYyN2m9dLMtGgK9ZV0nQ2AX2gVklFnpNJshb2iPJVROw+7kIZPH0NgvUnTegIoLDrQraHpCwmFcpOgTlw==" saltValue="Tn2jmLODqjAMLiuUITDm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LAVIANA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0.34251968503937008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0.24219799198121902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BuUoNRHuVUfMcASy6jjXzSv9DCHPAfhxh7CrJGQW8U1pSJI8N4oSeh83yNhnehxUelYOPpVUSgB43sRJwCzow==" saltValue="TG9b5iWYO7OQw1+El94B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6TBpHBYbqCr46lpX1VTuEAI3geFXJge3PbJt6Z8aKA+VjocW7uToEXs2CHWCYUZrquoZizLLwcmzXCAgl8YCw==" saltValue="ucc3QcGwUGhSpgqaVVwp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LAVIANA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453</v>
      </c>
      <c r="D12" s="452">
        <f>IF(ISNUMBER(C12/Datos!BH12),C12/Datos!BH12," - ")</f>
        <v>226.5</v>
      </c>
      <c r="E12" s="451">
        <f>IF(ISNUMBER(IF(J_V="SI",Datos!J12,Datos!J12+Datos!Z12)),IF(J_V="SI",Datos!J12,Datos!J12+Datos!Z12)," - ")</f>
        <v>331</v>
      </c>
      <c r="F12" s="452">
        <f>IF(ISNUMBER(E12/B12),E12/B12," - ")</f>
        <v>165.5</v>
      </c>
      <c r="G12" s="451">
        <f>IF(ISNUMBER(IF(J_V="SI",Datos!K12,Datos!K12+Datos!AA12)),IF(J_V="SI",Datos!K12,Datos!K12+Datos!AA12)," - ")</f>
        <v>252</v>
      </c>
      <c r="H12" s="452">
        <f>IF(ISNUMBER(G12/B12),G12/B12," - ")</f>
        <v>126</v>
      </c>
      <c r="I12" s="451">
        <f>IF(ISNUMBER(IF(J_V="SI",Datos!L12,Datos!L12+Datos!AB12)),IF(J_V="SI",Datos!L12,Datos!L12+Datos!AB12)," - ")</f>
        <v>532</v>
      </c>
      <c r="J12" s="452">
        <f>IF(ISNUMBER(I12/B12),I12/B12," - ")</f>
        <v>266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455</v>
      </c>
      <c r="D14" s="1147" t="str">
        <f>IF(ISNUMBER(C14/Datos!BI14),C14/Datos!BI14," - ")</f>
        <v xml:space="preserve"> - </v>
      </c>
      <c r="E14" s="1146">
        <f>SUBTOTAL(9,E8:E13)</f>
        <v>333</v>
      </c>
      <c r="F14" s="1147">
        <f>IF(ISNUMBER(E14/B14),E14/B14," - ")</f>
        <v>166.5</v>
      </c>
      <c r="G14" s="1146">
        <f>SUBTOTAL(9,G8:G13)</f>
        <v>254</v>
      </c>
      <c r="H14" s="1147">
        <f>IF(ISNUMBER(G14/B14),G14/B14," - ")</f>
        <v>127</v>
      </c>
      <c r="I14" s="1146">
        <f>SUBTOTAL(9,I8:I13)</f>
        <v>534</v>
      </c>
      <c r="J14" s="1147">
        <f>IF(ISNUMBER(I14/B14),I14/B14," - ")</f>
        <v>267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260</v>
      </c>
      <c r="D17" s="452">
        <f>IF(ISNUMBER(C17/Datos!BH17),C17/Datos!BH17," - ")</f>
        <v>130</v>
      </c>
      <c r="E17" s="451">
        <f>IF(ISNUMBER(IF(D_I="SI",Datos!J17,Datos!J17+Datos!AD17)),IF(D_I="SI",Datos!J17,Datos!J17+Datos!AD17)," - ")</f>
        <v>218</v>
      </c>
      <c r="F17" s="452">
        <f>IF(ISNUMBER(E17/B17),E17/B17," - ")</f>
        <v>109</v>
      </c>
      <c r="G17" s="451">
        <f>IF(ISNUMBER(IF(D_I="SI",Datos!K17,Datos!K17+Datos!AE17)),IF(D_I="SI",Datos!K17,Datos!K17+Datos!AE17)," - ")</f>
        <v>238</v>
      </c>
      <c r="H17" s="452">
        <f>IF(ISNUMBER(G17/B17),G17/B17," - ")</f>
        <v>119</v>
      </c>
      <c r="I17" s="451">
        <f>IF(ISNUMBER(IF(D_I="SI",Datos!L17,Datos!L17+Datos!AF17)),IF(D_I="SI",Datos!L17,Datos!L17+Datos!AF17)," - ")</f>
        <v>240</v>
      </c>
      <c r="J17" s="452">
        <f>IF(ISNUMBER(I17/B17),I17/B17," - ")</f>
        <v>120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23</v>
      </c>
      <c r="F18" s="452">
        <f>IF(ISNUMBER(E18/B18),E18/B18," - ")</f>
        <v>23</v>
      </c>
      <c r="G18" s="451">
        <f>IF(ISNUMBER(IF(D_I="SI",Datos!K18,Datos!K18+Datos!AE18)),IF(D_I="SI",Datos!K18,Datos!K18+Datos!AE18)," - ")</f>
        <v>23</v>
      </c>
      <c r="H18" s="452">
        <f>IF(ISNUMBER(G18/B18),G18/B18," - ")</f>
        <v>23</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269</v>
      </c>
      <c r="D23" s="1147" t="str">
        <f>IF(ISNUMBER(C23/Datos!BI23),C23/Datos!BI23," - ")</f>
        <v xml:space="preserve"> - </v>
      </c>
      <c r="E23" s="1146">
        <f>SUBTOTAL(9,E15:E22)</f>
        <v>241</v>
      </c>
      <c r="F23" s="1147">
        <f>IF(ISNUMBER(E23/B23),E23/B23," - ")</f>
        <v>120.5</v>
      </c>
      <c r="G23" s="1146">
        <f>SUBTOTAL(9,G15:G22)</f>
        <v>261</v>
      </c>
      <c r="H23" s="1147">
        <f>IF(ISNUMBER(G23/B23),G23/B23," - ")</f>
        <v>130.5</v>
      </c>
      <c r="I23" s="1146">
        <f>SUBTOTAL(9,I15:I22)</f>
        <v>249</v>
      </c>
      <c r="J23" s="1147">
        <f>IF(ISNUMBER(I23/B23),I23/B23," - ")</f>
        <v>124.5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724</v>
      </c>
      <c r="D31" s="1085" t="str">
        <f>IF(ISNUMBER(C31/Datos!BI31),C31/Datos!BI31," - ")</f>
        <v xml:space="preserve"> - </v>
      </c>
      <c r="E31" s="1084">
        <f>SUBTOTAL(9,E9:E30)</f>
        <v>574</v>
      </c>
      <c r="F31" s="1085">
        <f>IF(ISNUMBER(E31/B31),E31/B31," - ")</f>
        <v>287</v>
      </c>
      <c r="G31" s="1084">
        <f>SUBTOTAL(9,G9:G30)</f>
        <v>515</v>
      </c>
      <c r="H31" s="1085">
        <f>IF(ISNUMBER(G31/B31),G31/B31," - ")</f>
        <v>257.5</v>
      </c>
      <c r="I31" s="1084">
        <f>SUBTOTAL(9,I9:I30)</f>
        <v>783</v>
      </c>
      <c r="J31" s="1085">
        <f>IF(ISNUMBER(I31/B31),I31/B31," - ")</f>
        <v>391.5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qAhIM+2M28hZLBqT+YxulDktNEx6kbbkKq/WLyvngHOwkTGr6CktDhln4b9tZhtEQb51fGvc4GeI6DGYNSkKQ==" saltValue="B/iecPukQK6iVb4Iq6/l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LAVIANA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85</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6.333333333333333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5.3648068669527899E-2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43</v>
      </c>
      <c r="AE14" s="1257">
        <f t="shared" si="1"/>
        <v>0</v>
      </c>
      <c r="AF14" s="1257">
        <f t="shared" si="1"/>
        <v>2</v>
      </c>
      <c r="AG14" s="1257">
        <f t="shared" si="1"/>
        <v>0</v>
      </c>
      <c r="AH14" s="1257">
        <f t="shared" si="1"/>
        <v>982</v>
      </c>
      <c r="AI14" s="1257">
        <f t="shared" si="1"/>
        <v>0</v>
      </c>
      <c r="AJ14" s="1257">
        <f t="shared" si="1"/>
        <v>0</v>
      </c>
      <c r="AK14" s="1257">
        <f t="shared" si="1"/>
        <v>0</v>
      </c>
      <c r="AL14" s="1257">
        <f t="shared" si="1"/>
        <v>87</v>
      </c>
      <c r="AM14" s="1257">
        <f t="shared" si="1"/>
        <v>78</v>
      </c>
      <c r="AN14" s="1257">
        <f t="shared" si="1"/>
        <v>0</v>
      </c>
      <c r="AO14" s="1257">
        <f t="shared" si="1"/>
        <v>0</v>
      </c>
      <c r="AP14" s="1262">
        <f>IF(ISNUMBER(((Datos!L14/Datos!K14)*11)/factor_trimestre),((Datos!L14/Datos!K14)*11)/factor_trimestre," - ")</f>
        <v>6.7155963302752291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5.3648068669527899E-2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2.8620689655172411</v>
      </c>
      <c r="AQ23" s="1262">
        <f>IF(ISNUMBER(((Datos!M23/Datos!L23)*11)/factor_trimestre),((Datos!M23/Datos!L23)*11)/factor_trimestre," - ")</f>
        <v>0.45783132530120485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1.6393442622950821E-2</v>
      </c>
      <c r="AW23" s="1265">
        <f>IF(ISNUMBER((Datos!Q23-Datos!R23)/(Datos!S23-Datos!Q23+Datos!R23)),(Datos!Q23-Datos!R23)/(Datos!S23-Datos!Q23+Datos!R23)," - ")</f>
        <v>-0.13623978201634879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43</v>
      </c>
      <c r="AE31" s="1284">
        <f t="shared" si="9"/>
        <v>0</v>
      </c>
      <c r="AF31" s="1285">
        <f t="shared" si="9"/>
        <v>2</v>
      </c>
      <c r="AG31" s="1285">
        <f t="shared" si="9"/>
        <v>0</v>
      </c>
      <c r="AH31" s="1285">
        <f t="shared" si="9"/>
        <v>982</v>
      </c>
      <c r="AI31" s="1285">
        <f t="shared" si="9"/>
        <v>0</v>
      </c>
      <c r="AJ31" s="1286">
        <f t="shared" si="9"/>
        <v>0</v>
      </c>
      <c r="AK31" s="1286">
        <f t="shared" si="9"/>
        <v>0</v>
      </c>
      <c r="AL31" s="1278">
        <f t="shared" si="9"/>
        <v>87</v>
      </c>
      <c r="AM31" s="1278">
        <f t="shared" si="9"/>
        <v>78</v>
      </c>
      <c r="AN31" s="1278">
        <f t="shared" si="9"/>
        <v>0</v>
      </c>
      <c r="AO31" s="1278">
        <f t="shared" si="9"/>
        <v>0</v>
      </c>
      <c r="AP31" s="1278">
        <f>IF(ISNUMBER(((Datos!L31/Datos!K31)*11)/factor_trimestre),((Datos!L31/Datos!K31)*11)/factor_trimestre," - ")</f>
        <v>4.6158663883089774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5.1359516616314202E-2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44.163333207537676</v>
      </c>
      <c r="AM33" s="1006"/>
      <c r="AN33" s="1006">
        <f>IF(ISNUMBER(STDEV(AN8:AN30)),STDEV(AN8:AN30),"-")</f>
        <v>0</v>
      </c>
      <c r="AO33" s="1012">
        <f>IF(ISNUMBER(STDEV(AO8:AO30)),STDEV(AO8:AO30),"-")</f>
        <v>0</v>
      </c>
      <c r="AP33" s="1065">
        <f>IF(ISNUMBER(STDEV(AP8:AP30)),STDEV(AP8:AP30),"-")</f>
        <v>2.0812909982344032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dZE3mvHumAQ+W6/A4Y6P6dq6MVoLt33d94OlZuY4386GedERw+EB+bS8p1ienaUR8FoAfWtWjJ2ad8zXYj3Gw==" saltValue="cCimR2FcdUHRBef5Mg9b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LAVIANA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vtwc+OGSMwKYweDg0hVHC3lTBTXDIoqe1j4LiFqTY6ac6ne3WbUboMDVjsF33zaeikSIxBaGfkzp4ILin949A==" saltValue="afEGp2qxi6gsujrDae+n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LAVIANA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85</v>
      </c>
      <c r="E12" s="452">
        <f t="shared" si="0"/>
        <v>42.5</v>
      </c>
      <c r="F12" s="451">
        <f>IF(ISNUMBER(Datos!N12),Datos!N12," - ")</f>
        <v>78</v>
      </c>
      <c r="G12" s="452">
        <f t="shared" si="1"/>
        <v>39</v>
      </c>
      <c r="H12" s="451">
        <f>IF(ISNUMBER(Datos!O12),Datos!O12," - ")</f>
        <v>126</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87</v>
      </c>
      <c r="E14" s="1147">
        <f t="shared" si="0"/>
        <v>29</v>
      </c>
      <c r="F14" s="1146">
        <f>SUBTOTAL(9,F9:F13)</f>
        <v>78</v>
      </c>
      <c r="G14" s="1147">
        <f t="shared" si="1"/>
        <v>26</v>
      </c>
      <c r="H14" s="1146">
        <f>SUBTOTAL(9,H9:H13)</f>
        <v>126</v>
      </c>
      <c r="I14" s="1147">
        <f>IF(ISNUMBER(H14/B14),H14/B14," - ")</f>
        <v>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153</v>
      </c>
      <c r="G17" s="452">
        <f t="shared" si="4"/>
        <v>76.5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170</v>
      </c>
      <c r="G23" s="1147">
        <f t="shared" si="4"/>
        <v>56.666666666666664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248</v>
      </c>
      <c r="G31" s="1085">
        <f>IF(ISNUMBER(F31/B31),F31/B31," - ")</f>
        <v>124</v>
      </c>
      <c r="H31" s="1084">
        <f>SUBTOTAL(9,H8:H30)</f>
        <v>126</v>
      </c>
      <c r="I31" s="1085">
        <f>IF(ISNUMBER(H31/B31),H31/B31," - ")</f>
        <v>63</v>
      </c>
    </row>
    <row r="34" spans="1:1">
      <c r="A34" s="439" t="str">
        <f>Criterios!A4</f>
        <v>Fecha Informe: 05 may. 2023</v>
      </c>
    </row>
    <row r="39" spans="1:1">
      <c r="A39" s="462"/>
    </row>
  </sheetData>
  <sheetProtection algorithmName="SHA-512" hashValue="jJJxbQ5utfnMQ39vYZeyw3xl9M+WOIwewZ14dHzuGc6gFNtTCaTE6geg+00+S2KA/sufBxig/+5wdrw/LCV6Sg==" saltValue="m3gJWu4FpmO8vpCJUW8b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LAVIANA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43</v>
      </c>
      <c r="D12" s="456">
        <f>IF(ISNUMBER(Datos!R12),Datos!R12," - ")</f>
        <v>982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43</v>
      </c>
      <c r="D14" s="1148">
        <f>SUBTOTAL(9,D9:D13)</f>
        <v>982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12</v>
      </c>
      <c r="D17" s="456">
        <f>IF(ISNUMBER(Datos!R17),Datos!R17," - ")</f>
        <v>62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12</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55</v>
      </c>
      <c r="D31" s="1090">
        <f>SUBTOTAL(9,D8:D30)</f>
        <v>1044</v>
      </c>
    </row>
    <row r="32" spans="1:4" ht="7.5" customHeight="1"/>
    <row r="33" spans="1:1" ht="6" customHeight="1"/>
    <row r="34" spans="1:1">
      <c r="A34" s="439" t="str">
        <f>Criterios!A4</f>
        <v>Fecha Informe: 05 may. 2023</v>
      </c>
    </row>
    <row r="39" spans="1:1">
      <c r="A39" s="462"/>
    </row>
  </sheetData>
  <sheetProtection algorithmName="SHA-512" hashValue="vZdTv9SV9/HZzEPhTGux5CRJskd42NoyQS+T+IgaHk9QRltALcbIQ3i1rjawjLfkj9WuUusMfk+gQ+v8jWa1Og==" saltValue="pK5I2uqUFeyqBws1YpN0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LAVIANA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-7.3619631901840496E-2</v>
      </c>
      <c r="C12" s="515">
        <f>IF(ISNUMBER(
   IF(J_V="SI",(Datos!J12-Datos!T12)/Datos!T12,(Datos!J12+Datos!Z12-(Datos!T12+Datos!AH12))/(Datos!T12+Datos!AH12))
     ),IF(J_V="SI",(Datos!J12-Datos!T12)/Datos!T12,(Datos!J12+Datos!Z12-(Datos!T12+Datos!AH12))/(Datos!T12+Datos!AH12))," - ")</f>
        <v>0.12585034013605442</v>
      </c>
      <c r="D12" s="515">
        <f>IF(ISNUMBER(
   IF(J_V="SI",(Datos!K12-Datos!U12)/Datos!U12,(Datos!K12+Datos!AA12-(Datos!U12+Datos!AI12))/(Datos!U12+Datos!AI12))
     ),IF(J_V="SI",(Datos!K12-Datos!U12)/Datos!U12,(Datos!K12+Datos!AA12-(Datos!U12+Datos!AI12))/(Datos!U12+Datos!AI12))," - ")</f>
        <v>-0.20754716981132076</v>
      </c>
      <c r="E12" s="515">
        <f>IF(ISNUMBER(
   IF(J_V="SI",(Datos!L12-Datos!V12)/Datos!V12,(Datos!L12+Datos!AB12-(Datos!V12+Datos!AJ12))/(Datos!V12+Datos!AJ12))
     ),IF(J_V="SI",(Datos!L12-Datos!V12)/Datos!V12,(Datos!L12+Datos!AB12-(Datos!V12+Datos!AJ12))/(Datos!V12+Datos!AJ12))," - ")</f>
        <v>0.14408602150537633</v>
      </c>
      <c r="F12" s="515">
        <f>IF(ISNUMBER((Datos!M12-Datos!W12)/Datos!W12),(Datos!M12-Datos!W12)/Datos!W12," - ")</f>
        <v>0.11842105263157894</v>
      </c>
      <c r="G12" s="516">
        <f>IF(ISNUMBER((Datos!N12-Datos!X12)/Datos!X12),(Datos!N12-Datos!X12)/Datos!X12," - ")</f>
        <v>-0.26415094339622641</v>
      </c>
      <c r="H12" s="514">
        <f>IF(ISNUMBER(((NºAsuntos!G12/NºAsuntos!E12)-Datos!BD12)/Datos!BD12),((NºAsuntos!G12/NºAsuntos!E12)-Datos!BD12)/Datos!BD12," - ")</f>
        <v>-0.29612951034600704</v>
      </c>
      <c r="I12" s="515">
        <f>IF(ISNUMBER(((NºAsuntos!I12/NºAsuntos!G12)-Datos!BE12)/Datos!BE12),((NºAsuntos!I12/NºAsuntos!G12)-Datos!BE12)/Datos!BE12," - ")</f>
        <v>0.44372759856630828</v>
      </c>
      <c r="J12" s="521">
        <f>IF(ISNUMBER((('Resol  Asuntos'!D12/NºAsuntos!G12)-Datos!BF12)/Datos!BF12),(('Resol  Asuntos'!D12/NºAsuntos!G12)-Datos!BF12)/Datos!BF12," - ")</f>
        <v>1.1904761904762029E-2</v>
      </c>
      <c r="K12" s="522">
        <f>IF(ISNUMBER((((NºAsuntos!C12+NºAsuntos!E12)/NºAsuntos!G12)-Datos!BG12)/Datos!BG12),(((NºAsuntos!C12+NºAsuntos!E12)/NºAsuntos!G12)-Datos!BG12)/Datos!BG12," - ")</f>
        <v>0.26351638995317156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-7.3319755600814662E-2</v>
      </c>
      <c r="C14" s="1152">
        <f>IF(ISNUMBER(
   IF(J_V="SI",(Datos!J14-Datos!T14)/Datos!T14,(Datos!J14+Datos!Z14-(Datos!T14+Datos!AH14))/(Datos!T14+Datos!AH14))
     ),IF(J_V="SI",(Datos!J14-Datos!T14)/Datos!T14,(Datos!J14+Datos!Z14-(Datos!T14+Datos!AH14))/(Datos!T14+Datos!AH14))," - ")</f>
        <v>0.12881355932203389</v>
      </c>
      <c r="D14" s="1152">
        <f>IF(ISNUMBER(
   IF(J_V="SI",(Datos!K14-Datos!U14)/Datos!U14,(Datos!K14+Datos!AA14-(Datos!U14+Datos!AI14))/(Datos!U14+Datos!AI14))
     ),IF(J_V="SI",(Datos!K14-Datos!U14)/Datos!U14,(Datos!K14+Datos!AA14-(Datos!U14+Datos!AI14))/(Datos!U14+Datos!AI14))," - ")</f>
        <v>-0.20376175548589343</v>
      </c>
      <c r="E14" s="1152">
        <f>IF(ISNUMBER(
   IF(J_V="SI",(Datos!L14-Datos!V14)/Datos!V14,(Datos!L14+Datos!AB14-(Datos!V14+Datos!AJ14))/(Datos!V14+Datos!AJ14))
     ),IF(J_V="SI",(Datos!L14-Datos!V14)/Datos!V14,(Datos!L14+Datos!AB14-(Datos!V14+Datos!AJ14))/(Datos!V14+Datos!AJ14))," - ")</f>
        <v>0.14346895074946467</v>
      </c>
      <c r="F14" s="1153">
        <f>IF(ISNUMBER((Datos!M14-Datos!W14)/Datos!W14),(Datos!M14-Datos!W14)/Datos!W14," - ")</f>
        <v>0.14473684210526316</v>
      </c>
      <c r="G14" s="1154">
        <f>IF(ISNUMBER((Datos!N14-Datos!X14)/Datos!X14),(Datos!N14-Datos!X14)/Datos!X14," - ")</f>
        <v>-0.27102803738317754</v>
      </c>
      <c r="H14" s="1154">
        <f>IF(ISNUMBER(((NºAsuntos!G14/NºAsuntos!E14)-Datos!BD14)/Datos!BD14),((NºAsuntos!G14/NºAsuntos!E14)-Datos!BD14)/Datos!BD14," - ")</f>
        <v>-0.29462377738239809</v>
      </c>
      <c r="I14" s="1154">
        <f>IF(ISNUMBER(((NºAsuntos!I14/NºAsuntos!G14)-Datos!BE14)/Datos!BE14),((NºAsuntos!I14/NºAsuntos!G14)-Datos!BE14)/Datos!BE14," - ")</f>
        <v>0.43608895783102047</v>
      </c>
      <c r="J14" s="1154">
        <f>IF(ISNUMBER((('Resol  Asuntos'!D14/NºAsuntos!G14)-Datos!BF14)/Datos!BF14),(('Resol  Asuntos'!D14/NºAsuntos!G14)-Datos!BF14)/Datos!BF14," - ")</f>
        <v>3.0790372901500485E-2</v>
      </c>
      <c r="K14" s="1154">
        <f>IF(ISNUMBER((((NºAsuntos!C14+NºAsuntos!E14)/NºAsuntos!G14)-Datos!BG14)/Datos!BG14),(((NºAsuntos!C14+NºAsuntos!E14)/NºAsuntos!G14)-Datos!BG14)/Datos!BG14," - ")</f>
        <v>0.25910120013624233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-9.7222222222222224E-2</v>
      </c>
      <c r="C17" s="515">
        <f>IF(ISNUMBER(
   IF(D_I="SI",(Datos!J17-Datos!T17)/Datos!T17,(Datos!J17+Datos!AD17-(Datos!T17+Datos!AL17))/(Datos!T17+Datos!AL17))
     ),IF(D_I="SI",(Datos!J17-Datos!T17)/Datos!T17,(Datos!J17+Datos!AD17-(Datos!T17+Datos!AL17))/(Datos!T17+Datos!AL17))," - ")</f>
        <v>0.20441988950276244</v>
      </c>
      <c r="D17" s="515">
        <f>IF(ISNUMBER(
   IF(D_I="SI",(Datos!K17-Datos!U17)/Datos!U17,(Datos!K17+Datos!AE17-(Datos!U17+Datos!AM17))/(Datos!U17+Datos!AM17))
     ),IF(D_I="SI",(Datos!K17-Datos!U17)/Datos!U17,(Datos!K17+Datos!AE17-(Datos!U17+Datos!AM17))/(Datos!U17+Datos!AM17))," - ")</f>
        <v>0.21428571428571427</v>
      </c>
      <c r="E17" s="515">
        <f>IF(ISNUMBER(
   IF(D_I="SI",(Datos!L17-Datos!V17)/Datos!V17,(Datos!L17+Datos!AF17-(Datos!V17+Datos!AN17))/(Datos!V17+Datos!AN17))
     ),IF(D_I="SI",(Datos!L17-Datos!V17)/Datos!V17,(Datos!L17+Datos!AF17-(Datos!V17+Datos!AN17))/(Datos!V17+Datos!AN17))," - ")</f>
        <v>-0.1519434628975265</v>
      </c>
      <c r="F17" s="515">
        <f>IF(ISNUMBER((Datos!M17-Datos!W17)/Datos!W17),(Datos!M17-Datos!W17)/Datos!W17," - ")</f>
        <v>-8.1081081081081086E-2</v>
      </c>
      <c r="G17" s="516">
        <f>IF(ISNUMBER((Datos!N17-Datos!X17)/Datos!X17),(Datos!N17-Datos!X17)/Datos!X17," - ")</f>
        <v>0.36607142857142855</v>
      </c>
      <c r="H17" s="514">
        <f>IF(ISNUMBER(((NºAsuntos!G17/NºAsuntos!E17)-Datos!BD17)/Datos!BD17),((NºAsuntos!G17/NºAsuntos!E17)-Datos!BD17)/Datos!BD17," - ")</f>
        <v>8.191349934469197E-3</v>
      </c>
      <c r="I17" s="515">
        <f>IF(ISNUMBER(((NºAsuntos!I17/NºAsuntos!G17)-Datos!BE17)/Datos!BE17),((NºAsuntos!I17/NºAsuntos!G17)-Datos!BE17)/Datos!BE17," - ")</f>
        <v>-0.30160049885678658</v>
      </c>
      <c r="J17" s="521">
        <f>IF(ISNUMBER((('Resol  Asuntos'!D17/NºAsuntos!G17)-Datos!BF17)/Datos!BF17),(('Resol  Asuntos'!D17/NºAsuntos!G17)-Datos!BF17)/Datos!BF17," - ")</f>
        <v>-0.24324324324324323</v>
      </c>
      <c r="K17" s="522">
        <f>IF(ISNUMBER((((NºAsuntos!C17+NºAsuntos!E17)/NºAsuntos!G17)-Datos!BG17)/Datos!BG17),(((NºAsuntos!C17+NºAsuntos!E17)/NºAsuntos!G17)-Datos!BG17)/Datos!BG17," - ")</f>
        <v>-0.16066725197541704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-0.68965517241379315</v>
      </c>
      <c r="C18" s="515">
        <f>IF(ISNUMBER(
   IF(D_I="SI",(Datos!J18-Datos!T18)/Datos!T18,(Datos!J18+Datos!AD18-(Datos!T18+Datos!AL18))/(Datos!T18+Datos!AL18))
     ),IF(D_I="SI",(Datos!J18-Datos!T18)/Datos!T18,(Datos!J18+Datos!AD18-(Datos!T18+Datos!AL18))/(Datos!T18+Datos!AL18))," - ")</f>
        <v>-4.1666666666666664E-2</v>
      </c>
      <c r="D18" s="515">
        <f>IF(ISNUMBER(
   IF(D_I="SI",(Datos!K18-Datos!U18)/Datos!U18,(Datos!K18+Datos!AE18-(Datos!U18+Datos!AM18))/(Datos!U18+Datos!AM18))
     ),IF(D_I="SI",(Datos!K18-Datos!U18)/Datos!U18,(Datos!K18+Datos!AE18-(Datos!U18+Datos!AM18))/(Datos!U18+Datos!AM18))," - ")</f>
        <v>-0.30303030303030304</v>
      </c>
      <c r="E18" s="515">
        <f>IF(ISNUMBER(
   IF(D_I="SI",(Datos!L18-Datos!V18)/Datos!V18,(Datos!L18+Datos!AF18-(Datos!V18+Datos!AN18))/(Datos!V18+Datos!AN18))
     ),IF(D_I="SI",(Datos!L18-Datos!V18)/Datos!V18,(Datos!L18+Datos!AF18-(Datos!V18+Datos!AN18))/(Datos!V18+Datos!AN18))," - ")</f>
        <v>-0.7</v>
      </c>
      <c r="F18" s="515">
        <f>IF(ISNUMBER((Datos!M18-Datos!W18)/Datos!W18),(Datos!M18-Datos!W18)/Datos!W18," - ")</f>
        <v>-0.2</v>
      </c>
      <c r="G18" s="516">
        <f>IF(ISNUMBER((Datos!N18-Datos!X18)/Datos!X18),(Datos!N18-Datos!X18)/Datos!X18," - ")</f>
        <v>-0.15</v>
      </c>
      <c r="H18" s="514">
        <f>IF(ISNUMBER(((NºAsuntos!G18/NºAsuntos!E18)-Datos!BD18)/Datos!BD18),((NºAsuntos!G18/NºAsuntos!E18)-Datos!BD18)/Datos!BD18," - ")</f>
        <v>-0.27272727272727271</v>
      </c>
      <c r="I18" s="515">
        <f>IF(ISNUMBER(((NºAsuntos!I18/NºAsuntos!G18)-Datos!BE18)/Datos!BE18),((NºAsuntos!I18/NºAsuntos!G18)-Datos!BE18)/Datos!BE18," - ")</f>
        <v>-0.56956521739130428</v>
      </c>
      <c r="J18" s="521">
        <f>IF(ISNUMBER((('Resol  Asuntos'!D18/NºAsuntos!G18)-Datos!BF18)/Datos!BF18),(('Resol  Asuntos'!D18/NºAsuntos!G18)-Datos!BF18)/Datos!BF18," - ")</f>
        <v>0.14782608695652166</v>
      </c>
      <c r="K18" s="522">
        <f>IF(ISNUMBER((((NºAsuntos!C18+NºAsuntos!E18)/NºAsuntos!G18)-Datos!BG18)/Datos!BG18),(((NºAsuntos!C18+NºAsuntos!E18)/NºAsuntos!G18)-Datos!BG18)/Datos!BG18," - ")</f>
        <v>-0.13371616078753074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-0.15141955835962145</v>
      </c>
      <c r="C23" s="1152">
        <f>IF(ISNUMBER(
   IF(Criterios!B14="SI",(Datos!J23-Datos!T23)/Datos!T23,(Datos!J23+Datos!AD23-(Datos!T23+Datos!AL23))/(Datos!T23+Datos!AL23))
     ),IF(Criterios!B14="SI",(Datos!J23-Datos!T23)/Datos!T23,(Datos!J23+Datos!AD23-(Datos!T23+Datos!AL23))/(Datos!T23+Datos!AL23))," - ")</f>
        <v>0.17560975609756097</v>
      </c>
      <c r="D23" s="1152">
        <f>IF(ISNUMBER(
   IF(Criterios!B14="SI",(Datos!K23-Datos!U23)/Datos!U23,(Datos!K23+Datos!AE23-(Datos!U23+Datos!AM23))/(Datos!U23+Datos!AM23))
     ),IF(Criterios!B14="SI",(Datos!K23-Datos!U23)/Datos!U23,(Datos!K23+Datos!AE23-(Datos!U23+Datos!AM23))/(Datos!U23+Datos!AM23))," - ")</f>
        <v>0.13973799126637554</v>
      </c>
      <c r="E23" s="1152">
        <f>IF(ISNUMBER(
   IF(Criterios!B14="SI",(Datos!L23-Datos!V23)/Datos!V23,(Datos!L23+Datos!AF23-(Datos!V23+Datos!AN23))/(Datos!V23+Datos!AN23))
     ),IF(Criterios!B14="SI",(Datos!L23-Datos!V23)/Datos!V23,(Datos!L23+Datos!AF23-(Datos!V23+Datos!AN23))/(Datos!V23+Datos!AN23))," - ")</f>
        <v>-0.20447284345047922</v>
      </c>
      <c r="F23" s="1153">
        <f>IF(ISNUMBER((Datos!M23-Datos!W23)/Datos!W23),(Datos!M23-Datos!W23)/Datos!W23," - ")</f>
        <v>-9.5238095238095233E-2</v>
      </c>
      <c r="G23" s="1154">
        <f>IF(ISNUMBER((Datos!N23-Datos!X23)/Datos!X23),(Datos!N23-Datos!X23)/Datos!X23," - ")</f>
        <v>0.2878787878787879</v>
      </c>
      <c r="H23" s="1154">
        <f>IF(ISNUMBER(((NºAsuntos!G23/NºAsuntos!E23)-Datos!BD23)/Datos!BD23),((NºAsuntos!G23/NºAsuntos!E23)-Datos!BD23)/Datos!BD23," - ")</f>
        <v>-3.0513326931091496E-2</v>
      </c>
      <c r="I23" s="1154">
        <f>IF(ISNUMBER(((NºAsuntos!I23/NºAsuntos!G23)-Datos!BE23)/Datos!BE23),((NºAsuntos!I23/NºAsuntos!G23)-Datos!BE23)/Datos!BE23," - ")</f>
        <v>-0.30200874003892625</v>
      </c>
      <c r="J23" s="1154">
        <f>IF(ISNUMBER((('Resol  Asuntos'!D23/NºAsuntos!G23)-Datos!BF23)/Datos!BF23),(('Resol  Asuntos'!D23/NºAsuntos!G23)-Datos!BF23)/Datos!BF23," - ")</f>
        <v>-0.20616675789089584</v>
      </c>
      <c r="K23" s="1154">
        <f>IF(ISNUMBER((((NºAsuntos!C23+NºAsuntos!E23)/NºAsuntos!G23)-Datos!BG23)/Datos!BG23),(((NºAsuntos!C23+NºAsuntos!E23)/NºAsuntos!G23)-Datos!BG23)/Datos!BG23," - ")</f>
        <v>-0.14277535561721061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-0.10396039603960396</v>
      </c>
      <c r="C31" s="1092">
        <f>IF(ISNUMBER(
   IF(J_V="SI",(Datos!J31-Datos!T31)/Datos!T31,(Datos!J31+Datos!Z31-(Datos!T31+Datos!AH31))/(Datos!T31+Datos!AH31))
     ),IF(J_V="SI",(Datos!J31-Datos!T31)/Datos!T31,(Datos!J31+Datos!Z31-(Datos!T31+Datos!AH31))/(Datos!T31+Datos!AH31))," - ")</f>
        <v>0.14799999999999999</v>
      </c>
      <c r="D31" s="1092">
        <f>IF(ISNUMBER(
   IF(J_V="SI",(Datos!K31-Datos!U31)/Datos!U31,(Datos!K31+Datos!AA31-(Datos!U31+Datos!AI31))/(Datos!U31+Datos!AI31))
     ),IF(J_V="SI",(Datos!K31-Datos!U31)/Datos!U31,(Datos!K31+Datos!AA31-(Datos!U31+Datos!AI31))/(Datos!U31+Datos!AI31))," - ")</f>
        <v>-6.0218978102189784E-2</v>
      </c>
      <c r="E31" s="1092">
        <f>IF(ISNUMBER(
   IF(J_V="SI",(Datos!L31-Datos!V31)/Datos!V31,(Datos!L31+Datos!AB31-(Datos!V31+Datos!AJ31))/(Datos!V31+Datos!AJ31))
     ),IF(J_V="SI",(Datos!L31-Datos!V31)/Datos!V31,(Datos!L31+Datos!AB31-(Datos!V31+Datos!AJ31))/(Datos!V31+Datos!AJ31))," - ")</f>
        <v>3.8461538461538464E-3</v>
      </c>
      <c r="F31" s="1093">
        <f>IF(ISNUMBER((Datos!M31-Datos!W31)/Datos!W31),(Datos!M31-Datos!W31)/Datos!W31," - ")</f>
        <v>5.9322033898305086E-2</v>
      </c>
      <c r="G31" s="1094">
        <f>IF(ISNUMBER((Datos!N31-Datos!X31)/Datos!X31),(Datos!N31-Datos!X31)/Datos!X31," - ")</f>
        <v>3.7656903765690378E-2</v>
      </c>
      <c r="H31" s="1095">
        <f>IF(ISNUMBER((Tasas!B31-Datos!BD31)/Datos!BD31),(Tasas!B31-Datos!BD31)/Datos!BD31," - ")</f>
        <v>-0.18137541646532221</v>
      </c>
      <c r="I31" s="1096">
        <f>IF(ISNUMBER((Tasas!C31-Datos!BE31)/Datos!BE31),(Tasas!C31-Datos!BE31)/Datos!BE31," - ")</f>
        <v>6.8170276325616216E-2</v>
      </c>
      <c r="J31" s="1097">
        <f>IF(ISNUMBER((Tasas!D31-Datos!BF31)/Datos!BF31),(Tasas!D31-Datos!BF31)/Datos!BF31," - ")</f>
        <v>-0.10128575177118866</v>
      </c>
      <c r="K31" s="1097">
        <f>IF(ISNUMBER((Tasas!E31-Datos!BG31)/Datos!BG31),(Tasas!E31-Datos!BG31)/Datos!BG31," - ")</f>
        <v>5.594251952139196E-2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aM9FDRJTC25pkHV8cU5Mi+5FnATnbNiPPZLeCXzXG/hahySbAYyrYvKmBrtVLSqhxRU9fxcjY0jhO/rYJiCxg==" saltValue="bLQOqeujN5OhX2y29L/j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LAVIANA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0.76132930513595165</v>
      </c>
      <c r="C12" s="498">
        <f>IF(ISNUMBER(NºAsuntos!I12/NºAsuntos!G12),NºAsuntos!I12/NºAsuntos!G12," - ")</f>
        <v>2.1111111111111112</v>
      </c>
      <c r="D12" s="499">
        <f>IF(ISNUMBER('Resol  Asuntos'!D12/NºAsuntos!G12),'Resol  Asuntos'!D12/NºAsuntos!G12," - ")</f>
        <v>0.33730158730158732</v>
      </c>
      <c r="E12" s="500">
        <f>IF(ISNUMBER((NºAsuntos!C12+NºAsuntos!E12)/NºAsuntos!G12),(NºAsuntos!C12+NºAsuntos!E12)/NºAsuntos!G12," - ")</f>
        <v>3.1111111111111112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0.76276276276276278</v>
      </c>
      <c r="C14" s="1156">
        <f>IF(ISNUMBER(NºAsuntos!I14/NºAsuntos!G14),NºAsuntos!I14/NºAsuntos!G14," - ")</f>
        <v>2.1023622047244093</v>
      </c>
      <c r="D14" s="1157">
        <f>IF(ISNUMBER('Resol  Asuntos'!D14/NºAsuntos!G14),'Resol  Asuntos'!D14/NºAsuntos!G14," - ")</f>
        <v>0.34251968503937008</v>
      </c>
      <c r="E14" s="1158">
        <f>IF(ISNUMBER((NºAsuntos!C14+NºAsuntos!E14)/NºAsuntos!G14),(NºAsuntos!C14+NºAsuntos!E14)/NºAsuntos!G14," - ")</f>
        <v>3.1023622047244093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1.0917431192660549</v>
      </c>
      <c r="C17" s="498">
        <f>IF(ISNUMBER(NºAsuntos!I17/NºAsuntos!G17),NºAsuntos!I17/NºAsuntos!G17," - ")</f>
        <v>1.0084033613445378</v>
      </c>
      <c r="D17" s="499">
        <f>IF(ISNUMBER('Resol  Asuntos'!D17/NºAsuntos!G17),'Resol  Asuntos'!D17/NºAsuntos!G17," - ")</f>
        <v>0.14285714285714285</v>
      </c>
      <c r="E17" s="500">
        <f>IF(ISNUMBER((NºAsuntos!C17+NºAsuntos!E17)/NºAsuntos!G17),(NºAsuntos!C17+NºAsuntos!E17)/NºAsuntos!G17," - ")</f>
        <v>2.0084033613445378</v>
      </c>
      <c r="G17" s="523"/>
    </row>
    <row r="18" spans="1:7">
      <c r="A18" s="450" t="str">
        <f>Datos!A18</f>
        <v>Jdos. Violencia contra la mujer</v>
      </c>
      <c r="B18" s="497">
        <f>IF(ISNUMBER(NºAsuntos!G18/NºAsuntos!E18),NºAsuntos!G18/NºAsuntos!E18," - ")</f>
        <v>1</v>
      </c>
      <c r="C18" s="498">
        <f>IF(ISNUMBER(NºAsuntos!I18/NºAsuntos!G18),NºAsuntos!I18/NºAsuntos!G18," - ")</f>
        <v>0.39130434782608697</v>
      </c>
      <c r="D18" s="499">
        <f>IF(ISNUMBER('Resol  Asuntos'!D18/NºAsuntos!G18),'Resol  Asuntos'!D18/NºAsuntos!G18," - ")</f>
        <v>0.17391304347826086</v>
      </c>
      <c r="E18" s="500">
        <f>IF(ISNUMBER((NºAsuntos!C18+NºAsuntos!E18)/NºAsuntos!G18),(NºAsuntos!C18+NºAsuntos!E18)/NºAsuntos!G18," - ")</f>
        <v>1.3913043478260869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1.0829875518672198</v>
      </c>
      <c r="C23" s="1156">
        <f>IF(ISNUMBER(NºAsuntos!I23/NºAsuntos!G23),NºAsuntos!I23/NºAsuntos!G23," - ")</f>
        <v>0.95402298850574707</v>
      </c>
      <c r="D23" s="1159">
        <f>IF(ISNUMBER('Resol  Asuntos'!D23/NºAsuntos!G23),'Resol  Asuntos'!D23/NºAsuntos!G23," - ")</f>
        <v>0.14559386973180077</v>
      </c>
      <c r="E23" s="1158">
        <f>IF(ISNUMBER((NºAsuntos!C23+NºAsuntos!E23)/NºAsuntos!G23),(NºAsuntos!C23+NºAsuntos!E23)/NºAsuntos!G23," - ")</f>
        <v>1.9540229885057472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0.89721254355400692</v>
      </c>
      <c r="C31" s="1099">
        <f>IF(ISNUMBER(NºAsuntos!I31/NºAsuntos!G31),NºAsuntos!I31/NºAsuntos!G31," - ")</f>
        <v>1.5203883495145631</v>
      </c>
      <c r="D31" s="1100">
        <f>IF(ISNUMBER('Resol  Asuntos'!D31/NºAsuntos!G31),'Resol  Asuntos'!D31/NºAsuntos!G31," - ")</f>
        <v>0.24271844660194175</v>
      </c>
      <c r="E31" s="1101">
        <f>IF(ISNUMBER((NºAsuntos!C31+NºAsuntos!E31)/NºAsuntos!G31),(NºAsuntos!C31+NºAsuntos!E31)/NºAsuntos!G31," - ")</f>
        <v>2.5203883495145631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Mq/RkBmhmdDR8nW/XodHYrKVLJQqHgKebAoIX3q2/W4eRauLAZkqqdQlKuJr4cypTRXg6sQu+VGlP8aaElGPA==" saltValue="Snv7zeum68GSTIDzXorw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LAVIANA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85</v>
      </c>
      <c r="AJ12" s="243" t="str">
        <f>IF(ISNUMBER(Datos!BW12),Datos!BW12," - ")</f>
        <v xml:space="preserve"> - </v>
      </c>
      <c r="AK12" s="242" t="str">
        <f>IF(ISNUMBER(Datos!BX12),Datos!BX12," - ")</f>
        <v xml:space="preserve"> - </v>
      </c>
      <c r="AL12" s="266">
        <f>IF(ISNUMBER(NºAsuntos!G12/NºAsuntos!E12),NºAsuntos!G12/NºAsuntos!E12," - ")</f>
        <v>0.76132930513595165</v>
      </c>
      <c r="AM12" s="284">
        <f>IF(ISNUMBER(((NºAsuntos!I12/NºAsuntos!G12)*11)/factor_trimestre),((NºAsuntos!I12/NºAsuntos!G12)*11)/factor_trimestre," - ")</f>
        <v>6.333333333333333</v>
      </c>
      <c r="AN12" s="267">
        <f>IF(ISNUMBER('Resol  Asuntos'!D12/NºAsuntos!G12),'Resol  Asuntos'!D12/NºAsuntos!G12," - ")</f>
        <v>0.33730158730158732</v>
      </c>
      <c r="AO12" s="268">
        <f>IF(ISNUMBER((NºAsuntos!C12+NºAsuntos!E12)/NºAsuntos!G12),(NºAsuntos!C12+NºAsuntos!E12)/NºAsuntos!G12," - ")</f>
        <v>3.1111111111111112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43</v>
      </c>
      <c r="Y14" s="1165">
        <f t="shared" si="6"/>
        <v>45</v>
      </c>
      <c r="Z14" s="1165">
        <f t="shared" si="6"/>
        <v>0</v>
      </c>
      <c r="AA14" s="1165">
        <f t="shared" si="6"/>
        <v>2</v>
      </c>
      <c r="AB14" s="1165">
        <f t="shared" si="6"/>
        <v>982</v>
      </c>
      <c r="AC14" s="1165">
        <f t="shared" si="6"/>
        <v>2</v>
      </c>
      <c r="AD14" s="1165">
        <f t="shared" si="6"/>
        <v>0</v>
      </c>
      <c r="AE14" s="1169">
        <f t="shared" si="6"/>
        <v>0</v>
      </c>
      <c r="AF14" s="1162">
        <f t="shared" si="6"/>
        <v>0</v>
      </c>
      <c r="AG14" s="1170">
        <f t="shared" si="6"/>
        <v>0</v>
      </c>
      <c r="AH14" s="1167">
        <f t="shared" si="6"/>
        <v>0</v>
      </c>
      <c r="AI14" s="1162">
        <f t="shared" si="6"/>
        <v>87</v>
      </c>
      <c r="AJ14" s="1164">
        <f t="shared" si="6"/>
        <v>0</v>
      </c>
      <c r="AK14" s="1167">
        <f>SUBTOTAL(9,AK9:AK13)</f>
        <v>0</v>
      </c>
      <c r="AL14" s="1171">
        <f>IF(ISNUMBER(NºAsuntos!G14/NºAsuntos!E14),NºAsuntos!G14/NºAsuntos!E14," - ")</f>
        <v>0.76276276276276278</v>
      </c>
      <c r="AM14" s="1171">
        <f>IF(ISNUMBER(((NºAsuntos!I14/NºAsuntos!G14)*11)/factor_trimestre),((NºAsuntos!I14/NºAsuntos!G14)*11)/factor_trimestre," - ")</f>
        <v>6.3070866141732287</v>
      </c>
      <c r="AN14" s="1172">
        <f>IF(ISNUMBER('Resol  Asuntos'!D14/NºAsuntos!G14),'Resol  Asuntos'!D14/NºAsuntos!G14," - ")</f>
        <v>0.34251968503937008</v>
      </c>
      <c r="AO14" s="1173">
        <f>IF(ISNUMBER((NºAsuntos!C14+NºAsuntos!E14)/NºAsuntos!G14),(NºAsuntos!C14+NºAsuntos!E14)/NºAsuntos!G14," - ")</f>
        <v>3.1023622047244093</v>
      </c>
      <c r="AP14" s="1174" t="str">
        <f t="shared" si="2"/>
        <v xml:space="preserve"> - </v>
      </c>
      <c r="AQ14" s="1174">
        <f>IF(ISNUMBER((H14-W14+K14)/(F14)),(H14-W14+K14)/(F14)," - ")</f>
        <v>-1</v>
      </c>
      <c r="AR14" s="1175">
        <f>IF(ISNUMBER((Datos!P14-Datos!Q14)/(Datos!R14-Datos!P14+Datos!Q14)),(Datos!P14-Datos!Q14)/(Datos!R14-Datos!P14+Datos!Q14)," - ")</f>
        <v>5.3648068669527899E-2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260</v>
      </c>
      <c r="G17" s="373">
        <f>IF(ISNUMBER(IF(D_I="SI",Datos!I17,Datos!I17+Datos!AC17)),IF(D_I="SI",Datos!I17,Datos!I17+Datos!AC17)," - ")</f>
        <v>260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238</v>
      </c>
      <c r="X17" s="240">
        <f>IF(ISNUMBER(Datos!Q17),Datos!Q17," - ")</f>
        <v>12</v>
      </c>
      <c r="Y17" s="374">
        <f t="shared" ref="Y17:Y22" si="9">SUM(W17:X17)</f>
        <v>250</v>
      </c>
      <c r="Z17" s="375" t="str">
        <f>IF(ISNUMBER(Datos!CC17),Datos!CC17," - ")</f>
        <v xml:space="preserve"> - </v>
      </c>
      <c r="AA17" s="372">
        <f>IF(ISNUMBER(IF(D_I="SI",Datos!L17,Datos!L17+Datos!AF17)),IF(D_I="SI",Datos!L17,Datos!L17+Datos!AF17)," - ")</f>
        <v>240</v>
      </c>
      <c r="AB17" s="374">
        <f>IF(ISNUMBER(Datos!R17),Datos!R17," - ")</f>
        <v>62</v>
      </c>
      <c r="AC17" s="374">
        <f t="shared" si="8"/>
        <v>302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1.0917431192660549</v>
      </c>
      <c r="AM17" s="284">
        <f>IF(ISNUMBER(((NºAsuntos!I17/NºAsuntos!G17)*11)/factor_trimestre),((NºAsuntos!I17/NºAsuntos!G17)*11)/factor_trimestre," - ")</f>
        <v>3.0252100840336134</v>
      </c>
      <c r="AN17" s="267">
        <f>IF(ISNUMBER('Resol  Asuntos'!D17/NºAsuntos!G17),'Resol  Asuntos'!D17/NºAsuntos!G17," - ")</f>
        <v>0.14285714285714285</v>
      </c>
      <c r="AO17" s="268">
        <f>IF(ISNUMBER((NºAsuntos!C17+NºAsuntos!E17)/NºAsuntos!G17),(NºAsuntos!C17+NºAsuntos!E17)/NºAsuntos!G17," - ")</f>
        <v>2.0084033613445378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1.173913043478261</v>
      </c>
      <c r="AN18" s="267">
        <f>IF(ISNUMBER('Resol  Asuntos'!D18/NºAsuntos!G18),'Resol  Asuntos'!D18/NºAsuntos!G18," - ")</f>
        <v>0.17391304347826086</v>
      </c>
      <c r="AO18" s="268">
        <f>IF(ISNUMBER((NºAsuntos!C18+NºAsuntos!E18)/NºAsuntos!G18),(NºAsuntos!C18+NºAsuntos!E18)/NºAsuntos!G18," - ")</f>
        <v>1.3913043478260869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260</v>
      </c>
      <c r="G23" s="1163">
        <f>SUBTOTAL(9,G16:G22)</f>
        <v>269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261</v>
      </c>
      <c r="X23" s="1164">
        <f t="shared" si="14"/>
        <v>12</v>
      </c>
      <c r="Y23" s="1165">
        <f t="shared" si="14"/>
        <v>273</v>
      </c>
      <c r="Z23" s="1165">
        <f t="shared" si="14"/>
        <v>0</v>
      </c>
      <c r="AA23" s="1165">
        <f t="shared" si="14"/>
        <v>249</v>
      </c>
      <c r="AB23" s="1165">
        <f t="shared" si="14"/>
        <v>62</v>
      </c>
      <c r="AC23" s="1165">
        <f t="shared" si="14"/>
        <v>311</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1.0829875518672198</v>
      </c>
      <c r="AM23" s="1171">
        <f>IF(ISNUMBER(((NºAsuntos!I23/NºAsuntos!G23)*11)/factor_trimestre),((NºAsuntos!I23/NºAsuntos!G23)*11)/factor_trimestre," - ")</f>
        <v>2.8620689655172411</v>
      </c>
      <c r="AN23" s="1172">
        <f>IF(ISNUMBER('Resol  Asuntos'!D23/NºAsuntos!G23),'Resol  Asuntos'!D23/NºAsuntos!G23," - ")</f>
        <v>0.14559386973180077</v>
      </c>
      <c r="AO23" s="1173">
        <f>IF(ISNUMBER((NºAsuntos!C23+NºAsuntos!E23)/NºAsuntos!G23),(NºAsuntos!C23+NºAsuntos!E23)/NºAsuntos!G23," - ")</f>
        <v>1.9540229885057472</v>
      </c>
      <c r="AP23" s="1174" t="str">
        <f t="shared" si="2"/>
        <v xml:space="preserve"> - </v>
      </c>
      <c r="AQ23" s="1174">
        <f>IF(ISNUMBER((H23-W23+K23)/(F23)),(H23-W23+K23)/(F23)," - ")</f>
        <v>-1.0038461538461538</v>
      </c>
      <c r="AR23" s="1175">
        <f>IF(ISNUMBER((Datos!P23-Datos!Q23)/(Datos!R23-Datos!P23+Datos!Q23)),(Datos!P23-Datos!Q23)/(Datos!R23-Datos!P23+Datos!Q23)," - ")</f>
        <v>1.6393442622950821E-2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262</v>
      </c>
      <c r="G31" s="1118">
        <f t="shared" si="20"/>
        <v>271</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v>
      </c>
      <c r="X31" s="1118">
        <f t="shared" si="21"/>
        <v>55</v>
      </c>
      <c r="Y31" s="1125">
        <f t="shared" si="21"/>
        <v>318</v>
      </c>
      <c r="Z31" s="1125">
        <f t="shared" si="21"/>
        <v>0</v>
      </c>
      <c r="AA31" s="1125">
        <f t="shared" si="21"/>
        <v>251</v>
      </c>
      <c r="AB31" s="1125">
        <f t="shared" si="21"/>
        <v>1044</v>
      </c>
      <c r="AC31" s="1125">
        <f t="shared" si="21"/>
        <v>313</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0.89721254355400692</v>
      </c>
      <c r="AM31" s="1184">
        <f>IF(ISNUMBER(((NºAsuntos!I31/NºAsuntos!G31)*11)/factor_trimestre),((NºAsuntos!I31/NºAsuntos!G31)*11)/factor_trimestre," - ")</f>
        <v>4.5611650485436899</v>
      </c>
      <c r="AN31" s="1184">
        <f>IF(ISNUMBER('Resol  Asuntos'!D31/NºAsuntos!G31),'Resol  Asuntos'!D31/NºAsuntos!G31," - ")</f>
        <v>0.24271844660194175</v>
      </c>
      <c r="AO31" s="1185">
        <f>IF(ISNUMBER((NºAsuntos!C31+NºAsuntos!E31)/NºAsuntos!G31),(NºAsuntos!C31+NºAsuntos!E31)/NºAsuntos!G31," - ")</f>
        <v>2.5203883495145631</v>
      </c>
      <c r="AP31" s="1186" t="str">
        <f t="shared" si="2"/>
        <v xml:space="preserve"> - </v>
      </c>
      <c r="AQ31" s="1187">
        <f>IF(OR(ISNUMBER(FIND("01",Criterios!A8,1)),ISNUMBER(FIND("02",Criterios!A8,1)),ISNUMBER(FIND("03",Criterios!A8,1)),ISNUMBER(FIND("04",Criterios!A8,1))),(I31-W31+K31)/(F31-K31),(H31-W31+K31)/(F31-K31))</f>
        <v>-1.0038167938931297</v>
      </c>
      <c r="AR31" s="1188">
        <f>IF(ISNUMBER((Datos!P31-Datos!Q31)/(Datos!R31-Datos!P31+Datos!Q31)),(Datos!P31-Datos!Q31)/(Datos!R31-Datos!P31+Datos!Q31)," - ")</f>
        <v>5.1359516616314202E-2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133.75001557632308</v>
      </c>
      <c r="G33" s="277">
        <f>IF(ISNUMBER(STDEV(G8:G30)),STDEV(G8:G30),"-")</f>
        <v>127.85650438787115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119.56647881886819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37.035697065707524</v>
      </c>
      <c r="AJ33" s="276">
        <f t="shared" si="25"/>
        <v>0</v>
      </c>
      <c r="AK33" s="278">
        <f t="shared" si="25"/>
        <v>0</v>
      </c>
      <c r="AL33" s="273">
        <f t="shared" si="25"/>
        <v>0.15061937719235149</v>
      </c>
      <c r="AM33" s="274">
        <f t="shared" si="25"/>
        <v>2.0841302476665158</v>
      </c>
      <c r="AN33" s="274">
        <f t="shared" si="25"/>
        <v>0.3280601317101588</v>
      </c>
      <c r="AO33" s="275">
        <f t="shared" si="25"/>
        <v>0.69471008255550537</v>
      </c>
      <c r="AP33" s="317" t="str">
        <f t="shared" si="25"/>
        <v>-</v>
      </c>
      <c r="AQ33" s="318">
        <f t="shared" si="25"/>
        <v>2.7196414661020962E-3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j60hD6Nh/hGaN4KsKsVPYBznWRMEWaq6EJNy9xSlBBGlyKv6BUbDWi3Jkh6V5NDdqL+qdHPlHeDrQlSMLd14Q==" saltValue="zfIWtIABJy9QL1HJyZeh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LAVIANA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0.11842105263157894</v>
      </c>
      <c r="I12" s="395">
        <f>IF(ISNUMBER((Tasas!C12-Datos!BE12)/Datos!BE12),(Tasas!C12-Datos!BE12)/Datos!BE12," - ")</f>
        <v>0.44372759856630828</v>
      </c>
      <c r="J12" s="394">
        <f>IF(ISNUMBER((Tasas!D12-Datos!BF12)/Datos!BF12),(Tasas!D12-Datos!BF12)/Datos!BF12," - ")</f>
        <v>1.1904761904762029E-2</v>
      </c>
      <c r="K12" s="396">
        <f>IF(ISNUMBER((Tasas!E12-Datos!BG12)/Datos!BG12),(Tasas!E12-Datos!BG12)/Datos!BG12," - ")</f>
        <v>0.26351638995317156</v>
      </c>
      <c r="M12" t="e">
        <f>IF(Monitorios="SI",Datos!CE12,0)</f>
        <v>#REF!</v>
      </c>
      <c r="N12" t="e">
        <f>IF(Monitorios="SI",Datos!CF12,0)</f>
        <v>#REF!</v>
      </c>
      <c r="O12" t="e">
        <f>IF(Monitorios="SI",Datos!CG12,0)</f>
        <v>#REF!</v>
      </c>
      <c r="P12" t="e">
        <f>IF(Monitorios="SI",Datos!CH12,0)</f>
        <v>#REF!</v>
      </c>
      <c r="Q12">
        <f>IF(J_V="SI",0,Datos!AG12)</f>
        <v>49</v>
      </c>
      <c r="R12">
        <f>IF(J_V="SI",0,Datos!AH12)</f>
        <v>32</v>
      </c>
      <c r="S12">
        <f>IF(J_V="SI",0,Datos!AI12)</f>
        <v>34</v>
      </c>
      <c r="T12">
        <f>IF(J_V="SI",0,Datos!AJ12)</f>
        <v>47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0.14473684210526316</v>
      </c>
      <c r="I14" s="402">
        <f>IF(ISNUMBER((Tasas!C14-Datos!BE14)/Datos!BE14),(Tasas!C14-Datos!BE14)/Datos!BE14," - ")</f>
        <v>0.43608895783102047</v>
      </c>
      <c r="J14" s="400">
        <f>IF(ISNUMBER((Tasas!D14-Datos!BF14)/Datos!BF14),(Tasas!D14-Datos!BF14)/Datos!BF14," - ")</f>
        <v>3.0790372901500485E-2</v>
      </c>
      <c r="K14" s="403">
        <f>IF(ISNUMBER((Tasas!E14-Datos!BG14)/Datos!BG14),(Tasas!E14-Datos!BG14)/Datos!BG14," - ")</f>
        <v>0.25910120013624233</v>
      </c>
      <c r="M14" t="e">
        <f>IF(Monitorios="SI",Datos!CE14,0)</f>
        <v>#REF!</v>
      </c>
      <c r="N14" t="e">
        <f>IF(Monitorios="SI",Datos!CF14,0)</f>
        <v>#REF!</v>
      </c>
      <c r="O14" t="e">
        <f>IF(Monitorios="SI",Datos!CG14,0)</f>
        <v>#REF!</v>
      </c>
      <c r="P14" t="e">
        <f>IF(Monitorios="SI",Datos!CH14,0)</f>
        <v>#REF!</v>
      </c>
      <c r="Q14">
        <f>IF(J_V="SI",0,Datos!AG14)</f>
        <v>49</v>
      </c>
      <c r="R14">
        <f>IF(J_V="SI",0,Datos!AH14)</f>
        <v>32</v>
      </c>
      <c r="S14">
        <f>IF(J_V="SI",0,Datos!AI14)</f>
        <v>34</v>
      </c>
      <c r="T14">
        <f>IF(J_V="SI",0,Datos!AJ14)</f>
        <v>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-9.7222222222222224E-2</v>
      </c>
      <c r="E17" s="393">
        <f>IF(ISNUMBER(
   IF(D_I="SI",(Datos!J17-Datos!T17)/Datos!T17,(Datos!J17+Datos!AD17-(Datos!T17+Datos!AL17))/(Datos!T17+Datos!AL17))
     ),IF(D_I="SI",(Datos!J17-Datos!T17)/Datos!T17,(Datos!J17+Datos!AD17-(Datos!T17+Datos!AL17))/(Datos!T17+Datos!AL17))," - ")</f>
        <v>0.20441988950276244</v>
      </c>
      <c r="F17" s="393">
        <f>IF(ISNUMBER(
   IF(D_I="SI",(Datos!K17-Datos!U17)/Datos!U17,(Datos!K17+Datos!AE17-(Datos!U17+Datos!AM17))/(Datos!U17+Datos!AM17))
     ),IF(D_I="SI",(Datos!K17-Datos!U17)/Datos!U17,(Datos!K17+Datos!AE17-(Datos!U17+Datos!AM17))/(Datos!U17+Datos!AM17))," - ")</f>
        <v>0.21428571428571427</v>
      </c>
      <c r="G17" s="394">
        <f>IF(ISNUMBER(
   IF(D_I="SI",(Datos!L17-Datos!V17)/Datos!V17,(Datos!L17+Datos!AF17-(Datos!V17+Datos!AN17))/(Datos!V17+Datos!AN17))
     ),IF(D_I="SI",(Datos!L17-Datos!V17)/Datos!V17,(Datos!L17+Datos!AF17-(Datos!V17+Datos!AN17))/(Datos!V17+Datos!AN17))," - ")</f>
        <v>-0.1519434628975265</v>
      </c>
      <c r="H17" s="244">
        <f>IF(ISNUMBER((Datos!M17-Datos!W17)/Datos!W17),(Datos!M17-Datos!W17)/Datos!W17," - ")</f>
        <v>-8.1081081081081086E-2</v>
      </c>
      <c r="I17" s="395">
        <f>IF(ISNUMBER((Tasas!C17-Datos!BE17)/Datos!BE17),(Tasas!C17-Datos!BE17)/Datos!BE17," - ")</f>
        <v>-0.30160049885678658</v>
      </c>
      <c r="J17" s="394">
        <f>IF(ISNUMBER((Tasas!D17-Datos!BF17)/Datos!BF17),(Tasas!D17-Datos!BF17)/Datos!BF17," - ")</f>
        <v>-0.24324324324324323</v>
      </c>
      <c r="K17" s="396">
        <f>IF(ISNUMBER((Tasas!E17-Datos!BG17)/Datos!BG17),(Tasas!E17-Datos!BG17)/Datos!BG17," - ")</f>
        <v>-0.16066725197541704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-0.68965517241379315</v>
      </c>
      <c r="E18" s="393">
        <f>IF(ISNUMBER(
   IF(D_I="SI",(Datos!J18-Datos!T18)/Datos!T18,(Datos!J18+Datos!AD18-(Datos!T18+Datos!AL18))/(Datos!T18+Datos!AL18))
     ),IF(D_I="SI",(Datos!J18-Datos!T18)/Datos!T18,(Datos!J18+Datos!AD18-(Datos!T18+Datos!AL18))/(Datos!T18+Datos!AL18))," - ")</f>
        <v>-4.1666666666666664E-2</v>
      </c>
      <c r="F18" s="393">
        <f>IF(ISNUMBER(
   IF(D_I="SI",(Datos!K18-Datos!U18)/Datos!U18,(Datos!K18+Datos!AE18-(Datos!U18+Datos!AM18))/(Datos!U18+Datos!AM18))
     ),IF(D_I="SI",(Datos!K18-Datos!U18)/Datos!U18,(Datos!K18+Datos!AE18-(Datos!U18+Datos!AM18))/(Datos!U18+Datos!AM18))," - ")</f>
        <v>-0.30303030303030304</v>
      </c>
      <c r="G18" s="394">
        <f>IF(ISNUMBER(
   IF(D_I="SI",(Datos!L18-Datos!V18)/Datos!V18,(Datos!L18+Datos!AF18-(Datos!V18+Datos!AN18))/(Datos!V18+Datos!AN18))
     ),IF(D_I="SI",(Datos!L18-Datos!V18)/Datos!V18,(Datos!L18+Datos!AF18-(Datos!V18+Datos!AN18))/(Datos!V18+Datos!AN18))," - ")</f>
        <v>-0.7</v>
      </c>
      <c r="H18" s="244">
        <f>IF(ISNUMBER((Datos!M18-Datos!W18)/Datos!W18),(Datos!M18-Datos!W18)/Datos!W18," - ")</f>
        <v>-0.2</v>
      </c>
      <c r="I18" s="395">
        <f>IF(ISNUMBER((Tasas!C18-Datos!BE18)/Datos!BE18),(Tasas!C18-Datos!BE18)/Datos!BE18," - ")</f>
        <v>-0.56956521739130428</v>
      </c>
      <c r="J18" s="394">
        <f>IF(ISNUMBER((Tasas!D18-Datos!BF18)/Datos!BF18),(Tasas!D18-Datos!BF18)/Datos!BF18," - ")</f>
        <v>0.14782608695652166</v>
      </c>
      <c r="K18" s="396">
        <f>IF(ISNUMBER((Tasas!E18-Datos!BG18)/Datos!BG18),(Tasas!E18-Datos!BG18)/Datos!BG18," - ")</f>
        <v>-0.13371616078753074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-0.15141955835962145</v>
      </c>
      <c r="E23" s="399">
        <f>IF(ISNUMBER(
   IF(D_I="SI",(Datos!J23-Datos!T23)/Datos!T23,(Datos!J23+Datos!AD23-(Datos!T23+Datos!AL23))/(Datos!T23+Datos!AL23))
     ),IF(D_I="SI",(Datos!J23-Datos!T23)/Datos!T23,(Datos!J23+Datos!AD23-(Datos!T23+Datos!AL23))/(Datos!T23+Datos!AL23))," - ")</f>
        <v>0.17560975609756097</v>
      </c>
      <c r="F23" s="399">
        <f>IF(ISNUMBER(
   IF(D_I="SI",(Datos!K23-Datos!U23)/Datos!U23,(Datos!K23+Datos!AE23-(Datos!U23+Datos!AM23))/(Datos!U23+Datos!AM23))
     ),IF(D_I="SI",(Datos!K23-Datos!U23)/Datos!U23,(Datos!K23+Datos!AE23-(Datos!U23+Datos!AM23))/(Datos!U23+Datos!AM23))," - ")</f>
        <v>0.13973799126637554</v>
      </c>
      <c r="G23" s="400">
        <f>IF(ISNUMBER(
   IF(D_I="SI",(Datos!L23-Datos!V23)/Datos!V23,(Datos!L23+Datos!AF23-(Datos!V23+Datos!AN23))/(Datos!V23+Datos!AN23))
     ),IF(D_I="SI",(Datos!L23-Datos!V23)/Datos!V23,(Datos!L23+Datos!AF23-(Datos!V23+Datos!AN23))/(Datos!V23+Datos!AN23))," - ")</f>
        <v>-0.20447284345047922</v>
      </c>
      <c r="H23" s="401">
        <f>IF(ISNUMBER((Datos!M23-Datos!W23)/Datos!W23),(Datos!M23-Datos!W23)/Datos!W23," - ")</f>
        <v>-9.5238095238095233E-2</v>
      </c>
      <c r="I23" s="402">
        <f>IF(ISNUMBER((Tasas!C23-Datos!BE23)/Datos!BE23),(Tasas!C23-Datos!BE23)/Datos!BE23," - ")</f>
        <v>-0.30200874003892625</v>
      </c>
      <c r="J23" s="400">
        <f>IF(ISNUMBER((Tasas!D23-Datos!BF23)/Datos!BF23),(Tasas!D23-Datos!BF23)/Datos!BF23," - ")</f>
        <v>-0.20616675789089584</v>
      </c>
      <c r="K23" s="403">
        <f>IF(ISNUMBER((Tasas!E23-Datos!BG23)/Datos!BG23),(Tasas!E23-Datos!BG23)/Datos!BG23," - ")</f>
        <v>-0.14277535561721061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-0.10396039603960396</v>
      </c>
      <c r="E31" s="409">
        <f>IF(ISNUMBER(
   IF(J_V="SI",(Datos!J31-Datos!T31)/Datos!T31,(Datos!J31+Datos!Z31-(Datos!T31+Datos!AH31))/(Datos!T31+Datos!AH31))
     ),IF(J_V="SI",(Datos!J31-Datos!T31)/Datos!T31,(Datos!J31+Datos!Z31-(Datos!T31+Datos!AH31))/(Datos!T31+Datos!AH31))," - ")</f>
        <v>0.14799999999999999</v>
      </c>
      <c r="F31" s="409">
        <f>IF(ISNUMBER(
   IF(J_V="SI",(Datos!K31-Datos!U31)/Datos!U31,(Datos!K31+Datos!AA31-(Datos!U31+Datos!AI31))/(Datos!U31+Datos!AI31))
     ),IF(J_V="SI",(Datos!K31-Datos!U31)/Datos!U31,(Datos!K31+Datos!AA31-(Datos!U31+Datos!AI31))/(Datos!U31+Datos!AI31))," - ")</f>
        <v>-6.0218978102189784E-2</v>
      </c>
      <c r="G31" s="410">
        <f>IF(ISNUMBER(
   IF(J_V="SI",(Datos!L31-Datos!V31)/Datos!V31,(Datos!L31+Datos!AB31-(Datos!V31+Datos!AJ31))/(Datos!V31+Datos!AJ31))
     ),IF(J_V="SI",(Datos!L31-Datos!V31)/Datos!V31,(Datos!L31+Datos!AB31-(Datos!V31+Datos!AJ31))/(Datos!V31+Datos!AJ31))," - ")</f>
        <v>3.8461538461538464E-3</v>
      </c>
      <c r="H31" s="411">
        <f>IF(ISNUMBER((Datos!M31-Datos!W31)/Datos!W31),(Datos!M31-Datos!W31)/Datos!W31," - ")</f>
        <v>5.9322033898305086E-2</v>
      </c>
      <c r="I31" s="408">
        <f>IF(ISNUMBER((Tasas!C31-Datos!BE31)/Datos!BE31),(Tasas!C31-Datos!BE31)/Datos!BE31," - ")</f>
        <v>6.8170276325616216E-2</v>
      </c>
      <c r="J31" s="409">
        <f>IF(ISNUMBER((Tasas!D31-Datos!BF31)/Datos!BF31),(Tasas!D31-Datos!BF31)/Datos!BF31," - ")</f>
        <v>-0.10128575177118866</v>
      </c>
      <c r="K31" s="410">
        <f>IF(ISNUMBER((Tasas!E31-Datos!BG31)/Datos!BG31),(Tasas!E31-Datos!BG31)/Datos!BG31," - ")</f>
        <v>5.594251952139196E-2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0.30978702737231406</v>
      </c>
      <c r="E33" s="303">
        <f t="shared" si="1"/>
        <v>0.45700420236107048</v>
      </c>
      <c r="F33" s="303">
        <f t="shared" si="1"/>
        <v>0.54194884600813797</v>
      </c>
      <c r="G33" s="304">
        <f t="shared" si="1"/>
        <v>0.30325572626993941</v>
      </c>
      <c r="H33" s="310">
        <f t="shared" si="1"/>
        <v>0.14837085338178885</v>
      </c>
      <c r="I33" s="302">
        <f t="shared" si="1"/>
        <v>0.45579417390263011</v>
      </c>
      <c r="J33" s="303">
        <f t="shared" si="1"/>
        <v>0.16674055432779128</v>
      </c>
      <c r="K33" s="304">
        <f t="shared" si="1"/>
        <v>0.2455703218617164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jAYm7T81vs2S4eRH0Hm7PJb0gaQ1xB0fJ+t6D9GyJMQ2ut8IHMSzgO5UQo4Z/XMhMMn5p8K0faTyqzm2B7PVQ==" saltValue="sbs29mMStpZ6u+YINFOd4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